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filterPrivacy="1" codeName="ThisWorkbook" defaultThemeVersion="124226"/>
  <xr:revisionPtr revIDLastSave="0" documentId="8_{86C5D54E-7B39-44F2-96A4-83B1A7DEB2C4}" xr6:coauthVersionLast="47" xr6:coauthVersionMax="47" xr10:uidLastSave="{00000000-0000-0000-0000-000000000000}"/>
  <bookViews>
    <workbookView xWindow="0" yWindow="30" windowWidth="15360" windowHeight="10890" tabRatio="902" firstSheet="1" activeTab="3" xr2:uid="{00000000-000D-0000-FFFF-FFFF00000000}"/>
  </bookViews>
  <sheets>
    <sheet name="Révision" sheetId="20" state="hidden" r:id="rId1"/>
    <sheet name="Page couverture" sheetId="18" r:id="rId2"/>
    <sheet name="Sommaire exécutif" sheetId="10" r:id="rId3"/>
    <sheet name="Paramètres" sheetId="1" r:id="rId4"/>
    <sheet name="Déclaration" sheetId="3" r:id="rId5"/>
    <sheet name="Caractérisation" sheetId="4" r:id="rId6"/>
    <sheet name="Coûts nets" sheetId="7" r:id="rId7"/>
    <sheet name="Sommaire matières" sheetId="17" r:id="rId8"/>
    <sheet name="Facteur 1" sheetId="11" r:id="rId9"/>
    <sheet name="Facteur 2" sheetId="13" r:id="rId10"/>
    <sheet name="Facteur 3" sheetId="12" r:id="rId11"/>
    <sheet name="Frais de gestion &amp; RQ" sheetId="15" r:id="rId12"/>
    <sheet name="Limitation hausse" sheetId="19" r:id="rId13"/>
    <sheet name="Crédit contenu recyclé" sheetId="8" r:id="rId14"/>
    <sheet name="Tarif" sheetId="2" r:id="rId15"/>
  </sheets>
  <externalReferences>
    <externalReference r:id="rId16"/>
  </externalReferences>
  <definedNames>
    <definedName name="AnnéeRéf" localSheetId="1">[1]Paramètres!$C$6</definedName>
    <definedName name="AnnéeRéf">Paramètres!$C$6</definedName>
    <definedName name="AnnéeTarif" localSheetId="1">[1]Paramètres!$C$4</definedName>
    <definedName name="AnnéeTarif">Paramètres!$C$4</definedName>
    <definedName name="AnticipationTarifFixe">Paramètres!$D$21</definedName>
    <definedName name="AutresParamètres">Paramètres!$J$4:$J$32</definedName>
    <definedName name="CompensationMaxRM" localSheetId="1">[1]Paramètres!$C$15</definedName>
    <definedName name="CompensationMaxRM">Paramètres!$D$16</definedName>
    <definedName name="CoûtsAssumésEEQ" localSheetId="1">'[1]Coûts nets'!$C$16</definedName>
    <definedName name="CoûtsAssumésEEQ">'Coûts nets'!$C$19</definedName>
    <definedName name="CoûtsAssumésIndustrie" localSheetId="1">'[1]Coûts nets'!$C$14</definedName>
    <definedName name="CoûtsAssumésIndustrie">'Coûts nets'!$C$16</definedName>
    <definedName name="CoûtsNetsAprèsMatOrph" localSheetId="1">'[1]Coûts nets'!$C$7</definedName>
    <definedName name="CoûtsNetsAprèsMatOrph">'Coûts nets'!$C$8</definedName>
    <definedName name="CoûtsNetsDéclarés" localSheetId="1">[1]Paramètres!$C$9</definedName>
    <definedName name="CoûtsNetsDéclarés">Paramètres!$D$9</definedName>
    <definedName name="CoutsNetsEstimé">'Coûts nets'!$C$11</definedName>
    <definedName name="CoûtTotalCompenser">'Coûts nets'!$H$53</definedName>
    <definedName name="Facteur1" localSheetId="1">[1]Paramètres!$C$22</definedName>
    <definedName name="Facteur1">Paramètres!$C$24</definedName>
    <definedName name="Facteur2" localSheetId="1">[1]Paramètres!$C$23</definedName>
    <definedName name="Facteur2">Paramètres!$C$25</definedName>
    <definedName name="Facteur3" localSheetId="1">[1]Paramètres!$C$24</definedName>
    <definedName name="Facteur3">Paramètres!$C$26</definedName>
    <definedName name="FondsRetraitCE" localSheetId="1">[1]Paramètres!$C$52</definedName>
    <definedName name="FondsRetraitCE">Paramètres!$C$43</definedName>
    <definedName name="FondsRetraitConjoint" localSheetId="1">[1]Paramètres!$C$50</definedName>
    <definedName name="FondsRetraitConjoint">Paramètres!$C$41</definedName>
    <definedName name="FondsRetraitImprimé" localSheetId="1">[1]Paramètres!$C$51</definedName>
    <definedName name="FondsRetraitImprimé">Paramètres!$C$42</definedName>
    <definedName name="FondsRisque">'Coûts nets'!$C$36</definedName>
    <definedName name="FondsRisqueActuel" localSheetId="1">[1]Paramètres!$C$47</definedName>
    <definedName name="FondsRisqueActuel">Paramètres!$C$38</definedName>
    <definedName name="FondsRisquePourcCible" localSheetId="1">[1]Paramètres!$C$48</definedName>
    <definedName name="FondsRisquePourcCible">Paramètres!$C$39</definedName>
    <definedName name="FraisAdminÉEQ" localSheetId="1">[1]Paramètres!$C$17</definedName>
    <definedName name="FraisAdminÉEQ">Paramètres!$D$18</definedName>
    <definedName name="FraisGestionImputés" localSheetId="1">'[1]Coûts nets'!$C$27</definedName>
    <definedName name="FraisGestionImputés">'Coûts nets'!$C$30</definedName>
    <definedName name="FraisMun" localSheetId="1">[1]Paramètres!$C$12</definedName>
    <definedName name="FraisProvisionEtRisque" localSheetId="1">'[1]Coûts nets'!$C$33</definedName>
    <definedName name="FraisProvisionEtRisque">'Coûts nets'!$C$37</definedName>
    <definedName name="FraisRDÉEQ" localSheetId="1">[1]Paramètres!$C$18</definedName>
    <definedName name="FraisRDÉEQ">Paramètres!$D$19</definedName>
    <definedName name="FraisRQ">'Coûts nets'!$C$23</definedName>
    <definedName name="_xlnm.Print_Titles" localSheetId="5">Caractérisation!#REF!</definedName>
    <definedName name="_xlnm.Print_Titles" localSheetId="14">Tarif!$B:$C,Tarif!$2:$3</definedName>
    <definedName name="IndemnitéRQ" localSheetId="1">[1]Paramètres!$C$16</definedName>
    <definedName name="IndemnitéRQ">Paramètres!$D$17</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LimiteHausse">Paramètres!$C$45</definedName>
    <definedName name="ListeMatières" localSheetId="1">[1]!tblMatièresParam[Matière1]</definedName>
    <definedName name="ListeMatières">Paramètres!$B$49:$B$79</definedName>
    <definedName name="MontantFraisMun">Paramètres!$D$13</definedName>
    <definedName name="MontantMatOrphelines">Paramètres!$D$10</definedName>
    <definedName name="MontantPartEEQ">Paramètres!$D$15</definedName>
    <definedName name="MontantPE">Paramètres!$D$11</definedName>
    <definedName name="ObjectifRecup" localSheetId="1">[1]Paramètres!$C$25</definedName>
    <definedName name="ObjectifRecup">Paramètres!$C$27</definedName>
    <definedName name="ParamètresComp" localSheetId="12">#REF!</definedName>
    <definedName name="ParamètresComp" localSheetId="1">#REF!</definedName>
    <definedName name="ParamètresComp">#REF!</definedName>
    <definedName name="PartCERelative">'Coûts nets'!$D$52</definedName>
    <definedName name="PartCoutContenants" localSheetId="1">[1]Paramètres!$C$29</definedName>
    <definedName name="PartCoutContenants">Paramètres!$C$31</definedName>
    <definedName name="PartCoutImprimés" localSheetId="1">[1]Paramètres!$C$28</definedName>
    <definedName name="PartCoutImprimés">Paramètres!$C$30</definedName>
    <definedName name="PartCoutMag" localSheetId="12">[1]Paramètres!#REF!</definedName>
    <definedName name="PartCoutMag">[1]Paramètres!#REF!</definedName>
    <definedName name="PartEEQ" localSheetId="1">[1]Paramètres!$C$14</definedName>
    <definedName name="PartEEQ">Paramètres!$C$15</definedName>
    <definedName name="PartImprimésConj" localSheetId="12">Paramètres!#REF!</definedName>
    <definedName name="PartImprimésConj">Paramètres!#REF!</definedName>
    <definedName name="PartImprimésInd" localSheetId="12">Paramètres!#REF!</definedName>
    <definedName name="PartImprimésInd">Paramètres!#REF!</definedName>
    <definedName name="PartImprimésRelative">'Coûts nets'!$D$51</definedName>
    <definedName name="PartIndustrie" localSheetId="1">[1]Paramètres!$C$13</definedName>
    <definedName name="PartIndustrie">Paramètres!$D$14</definedName>
    <definedName name="PourcFraisMun">Paramètres!$C$13</definedName>
    <definedName name="PourcMatOrphelines" localSheetId="1">[1]Paramètres!$C$10</definedName>
    <definedName name="PourcMatOrphelines">Paramètres!$C$10</definedName>
    <definedName name="PourcPE" localSheetId="1">[1]Paramètres!$C$11</definedName>
    <definedName name="PourcPE">Paramètres!$C$11</definedName>
    <definedName name="Proportion_autres" localSheetId="12">Paramètres!#REF!</definedName>
    <definedName name="Proportion_autres">Paramètres!#REF!</definedName>
    <definedName name="Proportion_contenants" localSheetId="12">Paramètres!#REF!</definedName>
    <definedName name="Proportion_contenants">Paramètres!#REF!</definedName>
    <definedName name="Proportion_imprimés" localSheetId="12">Paramètres!#REF!</definedName>
    <definedName name="Proportion_imprimés">Paramètres!#REF!</definedName>
    <definedName name="Proportion_Journaux" localSheetId="12">Paramètres!#REF!</definedName>
    <definedName name="Proportion_Journaux">Paramètres!#REF!</definedName>
    <definedName name="ProvCréances" localSheetId="1">[1]Paramètres!$C$19</definedName>
    <definedName name="ProvCréances">Paramètres!$D$20</definedName>
    <definedName name="RabaisCrédit" localSheetId="1">[1]Paramètres!$C$33</definedName>
    <definedName name="RabaisCrédit">Paramètres!$C$35</definedName>
    <definedName name="rgAjustements_Matière">[1]Ajustements!$C$7:$C$37</definedName>
    <definedName name="rgAjustements_MatièreCarac">[1]Ajustements!$E$7:$E$37</definedName>
    <definedName name="rgAjustements_PourcCarac">[1]Ajustements!$G$7:$G$37</definedName>
    <definedName name="rgCarac_Matières">[1]Caractérisation!$C$7:$C$40</definedName>
    <definedName name="rgCarac_QtéGén">[1]Caractérisation!$D$7:$D$40</definedName>
    <definedName name="rgCarac_QtéRécup">[1]Caractérisation!$E$7:$E$40</definedName>
    <definedName name="rgDéclaration_Matières" localSheetId="1">[1]Déclaration!$C$6:$C$35</definedName>
    <definedName name="rgDéclaration_Matières">Déclaration!$C$6:$C$36</definedName>
    <definedName name="rgDéclaration_NbDécl" localSheetId="1">[1]Déclaration!$D$6:$D$35</definedName>
    <definedName name="rgDéclaration_NbDécl">Déclaration!$D$6:$D$36</definedName>
    <definedName name="rgDéclaration_QtéÉCOD" localSheetId="12">[1]Déclaration!#REF!</definedName>
    <definedName name="rgDéclaration_QtéÉCOD">[1]Déclaration!#REF!</definedName>
    <definedName name="rgDéclaration_QtéFinale" localSheetId="1">[1]Déclaration!$E$6:$E$35</definedName>
    <definedName name="rgDéclaration_QtéFinale">Déclaration!$E$6:$E$36</definedName>
    <definedName name="rgTarif_Matières" localSheetId="1">[1]Tarif!$B$10:$B$50</definedName>
    <definedName name="rgTarif_Matières">Tarif!$C$11:$C$52</definedName>
    <definedName name="rgTarif_TxAmalgamé" localSheetId="12">Tarif!#REF!</definedName>
    <definedName name="rgTarif_TxAmalgamé" localSheetId="1">[1]Tarif!#REF!</definedName>
    <definedName name="rgTarif_TxAmalgamé">Tarif!#REF!</definedName>
    <definedName name="rgTarif_TxFinal" localSheetId="1">[1]Tarif!$L$10:$L$50</definedName>
    <definedName name="rgTarif_TxFinal">Tarif!$P$11:$P$52</definedName>
    <definedName name="TauxStewardship">Paramètres!$B$48:$D$78</definedName>
    <definedName name="TonnageCrédit" localSheetId="1">[1]Paramètres!$C$32</definedName>
    <definedName name="TonnageCrédit">Paramètres!$C$34</definedName>
    <definedName name="_xlnm.Print_Area" localSheetId="5">Caractérisation!#REF!,Caractérisation!#REF!</definedName>
    <definedName name="_xlnm.Print_Area" localSheetId="6">'Coûts nets'!$B$2:$I$55</definedName>
    <definedName name="_xlnm.Print_Area" localSheetId="13">'Crédit contenu recyclé'!$B$1:$K$47</definedName>
    <definedName name="_xlnm.Print_Area" localSheetId="4">Déclaration!$B$2:$E$37</definedName>
    <definedName name="_xlnm.Print_Area" localSheetId="11">'Frais de gestion &amp; RQ'!$A$1:$G$51</definedName>
    <definedName name="_xlnm.Print_Area" localSheetId="12">'Limitation hausse'!$B$1:$I$51</definedName>
    <definedName name="_xlnm.Print_Area" localSheetId="3">Paramètres!$B$1:$I$45</definedName>
    <definedName name="_xlnm.Print_Area" localSheetId="2">'Sommaire exécutif'!$A$1:$K$50</definedName>
    <definedName name="_xlnm.Print_Area" localSheetId="14">Tarif!$B$2:$P$52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8" i="12" l="1"/>
  <c r="H48" i="12"/>
  <c r="G48" i="12"/>
  <c r="F48" i="12"/>
  <c r="E48" i="12"/>
  <c r="D48" i="12"/>
  <c r="C48" i="12"/>
  <c r="I48" i="13"/>
  <c r="H48" i="13"/>
  <c r="D48" i="13"/>
  <c r="C48" i="13"/>
  <c r="G48" i="11"/>
  <c r="F48" i="11"/>
  <c r="E48" i="11"/>
  <c r="D48" i="11"/>
  <c r="C48" i="11"/>
  <c r="C48" i="15"/>
  <c r="H46" i="10" l="1"/>
  <c r="G46" i="10"/>
  <c r="F46" i="10"/>
  <c r="E46" i="10"/>
  <c r="D46" i="10"/>
  <c r="C46" i="10"/>
  <c r="B46" i="10"/>
  <c r="B45" i="10"/>
  <c r="G49" i="2" l="1"/>
  <c r="D48" i="15" l="1"/>
  <c r="E48" i="15"/>
  <c r="G48" i="2"/>
  <c r="D48" i="2"/>
  <c r="C48" i="2"/>
  <c r="H43" i="8"/>
  <c r="G43" i="8"/>
  <c r="E43" i="8"/>
  <c r="C43" i="8"/>
  <c r="F47" i="19"/>
  <c r="E47" i="19"/>
  <c r="D47" i="19"/>
  <c r="C47" i="19"/>
  <c r="E47" i="15"/>
  <c r="D47" i="15"/>
  <c r="C47" i="15"/>
  <c r="B47" i="15"/>
  <c r="G47" i="12"/>
  <c r="F47" i="12"/>
  <c r="C47" i="12"/>
  <c r="B47" i="12"/>
  <c r="F47" i="13"/>
  <c r="D47" i="13"/>
  <c r="B47" i="13"/>
  <c r="F47" i="11"/>
  <c r="C47" i="11"/>
  <c r="B47" i="11"/>
  <c r="B46" i="11"/>
  <c r="P5" i="17"/>
  <c r="P6" i="17"/>
  <c r="P7" i="17"/>
  <c r="P8" i="17"/>
  <c r="P9" i="17"/>
  <c r="P10" i="17"/>
  <c r="P11" i="17"/>
  <c r="P12" i="17"/>
  <c r="P13" i="17"/>
  <c r="P14" i="17"/>
  <c r="P15" i="17"/>
  <c r="P16" i="17"/>
  <c r="P17" i="17"/>
  <c r="P18" i="17"/>
  <c r="P19" i="17"/>
  <c r="P20" i="17"/>
  <c r="P21" i="17"/>
  <c r="P22" i="17"/>
  <c r="P23" i="17"/>
  <c r="P24" i="17"/>
  <c r="P25" i="17"/>
  <c r="P26" i="17"/>
  <c r="P27" i="17"/>
  <c r="P28" i="17"/>
  <c r="P29" i="17"/>
  <c r="P30" i="17"/>
  <c r="P31" i="17"/>
  <c r="P32" i="17"/>
  <c r="P33" i="17"/>
  <c r="P34" i="17"/>
  <c r="P35" i="17"/>
  <c r="N5" i="17"/>
  <c r="N6" i="17"/>
  <c r="N7" i="17"/>
  <c r="N8" i="17"/>
  <c r="N9" i="17"/>
  <c r="N10" i="17"/>
  <c r="N11" i="17"/>
  <c r="N12" i="17"/>
  <c r="N13" i="17"/>
  <c r="N14" i="17"/>
  <c r="N15" i="17"/>
  <c r="N16" i="17"/>
  <c r="N17" i="17"/>
  <c r="N18" i="17"/>
  <c r="N19" i="17"/>
  <c r="N20" i="17"/>
  <c r="N21" i="17"/>
  <c r="N22" i="17"/>
  <c r="N23" i="17"/>
  <c r="N24" i="17"/>
  <c r="N25" i="17"/>
  <c r="N26" i="17"/>
  <c r="N27" i="17"/>
  <c r="N28" i="17"/>
  <c r="N29" i="17"/>
  <c r="N30" i="17"/>
  <c r="N31" i="17"/>
  <c r="N32" i="17"/>
  <c r="N33" i="17"/>
  <c r="N34" i="17"/>
  <c r="N35" i="17"/>
  <c r="M5" i="17"/>
  <c r="M6" i="17"/>
  <c r="M7" i="17"/>
  <c r="M8" i="17"/>
  <c r="M9"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E47" i="13" s="1"/>
  <c r="G47" i="13" s="1"/>
  <c r="L5" i="17"/>
  <c r="L6" i="17"/>
  <c r="L7" i="17"/>
  <c r="L8" i="17"/>
  <c r="L9" i="17"/>
  <c r="L10" i="17"/>
  <c r="L11" i="17"/>
  <c r="L12" i="17"/>
  <c r="L13" i="17"/>
  <c r="L14" i="17"/>
  <c r="L15" i="17"/>
  <c r="L16" i="17"/>
  <c r="L17" i="17"/>
  <c r="L18" i="17"/>
  <c r="L19" i="17"/>
  <c r="L20" i="17"/>
  <c r="L21" i="17"/>
  <c r="L22" i="17"/>
  <c r="L23" i="17"/>
  <c r="L24" i="17"/>
  <c r="L25" i="17"/>
  <c r="L26" i="17"/>
  <c r="L27" i="17"/>
  <c r="L28" i="17"/>
  <c r="L29" i="17"/>
  <c r="L30" i="17"/>
  <c r="L31" i="17"/>
  <c r="L32" i="17"/>
  <c r="L33" i="17"/>
  <c r="L34" i="17"/>
  <c r="L35" i="17"/>
  <c r="F35" i="17"/>
  <c r="G35" i="17"/>
  <c r="H35" i="17" s="1"/>
  <c r="I35" i="17" s="1"/>
  <c r="E37" i="3"/>
  <c r="D37" i="3"/>
  <c r="O35" i="17" l="1"/>
  <c r="I47" i="12" s="1"/>
  <c r="J35" i="17"/>
  <c r="K35" i="17" l="1"/>
  <c r="D47" i="12"/>
  <c r="E48" i="2"/>
  <c r="F48" i="2" s="1"/>
  <c r="C47" i="13"/>
  <c r="H47" i="13" s="1"/>
  <c r="D47" i="11"/>
  <c r="E47" i="11" s="1"/>
  <c r="H47" i="12" l="1"/>
  <c r="J47" i="12" s="1"/>
  <c r="E47" i="12"/>
  <c r="D15" i="1" l="1"/>
  <c r="C14" i="7"/>
  <c r="B9" i="1"/>
  <c r="D13" i="1"/>
  <c r="B3" i="19" l="1"/>
  <c r="B4" i="19"/>
  <c r="B5" i="19"/>
  <c r="B7" i="19"/>
  <c r="B9" i="19"/>
  <c r="B16" i="19"/>
  <c r="B18" i="19"/>
  <c r="B19" i="19"/>
  <c r="B26" i="19"/>
  <c r="B27" i="19"/>
  <c r="B38" i="19"/>
  <c r="B39" i="19"/>
  <c r="B41" i="19"/>
  <c r="B42" i="19"/>
  <c r="B44" i="19"/>
  <c r="B45" i="19"/>
  <c r="B48" i="19"/>
  <c r="B49" i="19"/>
  <c r="B51" i="19"/>
  <c r="B29" i="10"/>
  <c r="B36" i="10"/>
  <c r="C39" i="7" l="1"/>
  <c r="C57" i="7" s="1"/>
  <c r="C10" i="7"/>
  <c r="C15" i="1"/>
  <c r="C24" i="7" s="1"/>
  <c r="C11" i="1"/>
  <c r="C8" i="7" l="1"/>
  <c r="C7" i="7"/>
  <c r="C42" i="7" l="1"/>
  <c r="N47" i="2"/>
  <c r="N46" i="2"/>
  <c r="N43" i="2"/>
  <c r="N45" i="2" s="1"/>
  <c r="N40" i="2"/>
  <c r="N42" i="2" s="1"/>
  <c r="N38" i="2"/>
  <c r="N33" i="2"/>
  <c r="N28" i="2"/>
  <c r="N30" i="2"/>
  <c r="N20" i="2"/>
  <c r="N12" i="2"/>
  <c r="C46" i="19"/>
  <c r="D46" i="19" s="1"/>
  <c r="C45" i="19"/>
  <c r="E45" i="19" s="1"/>
  <c r="C43" i="19"/>
  <c r="E43" i="19" s="1"/>
  <c r="C42" i="19"/>
  <c r="D42" i="19" s="1"/>
  <c r="C40" i="19"/>
  <c r="D40" i="19" s="1"/>
  <c r="C39" i="19"/>
  <c r="E39" i="19" s="1"/>
  <c r="C37" i="19"/>
  <c r="E37" i="19" s="1"/>
  <c r="C36" i="19"/>
  <c r="D36" i="19" s="1"/>
  <c r="C35" i="19"/>
  <c r="D35" i="19" s="1"/>
  <c r="C34" i="19"/>
  <c r="E34" i="19" s="1"/>
  <c r="C33" i="19"/>
  <c r="E33" i="19" s="1"/>
  <c r="C32" i="19"/>
  <c r="D32" i="19" s="1"/>
  <c r="C31" i="19"/>
  <c r="D31" i="19" s="1"/>
  <c r="C30" i="19"/>
  <c r="E30" i="19" s="1"/>
  <c r="C29" i="19"/>
  <c r="E29" i="19" s="1"/>
  <c r="C28" i="19"/>
  <c r="D28" i="19" s="1"/>
  <c r="C27" i="19"/>
  <c r="D27" i="19" s="1"/>
  <c r="C25" i="19"/>
  <c r="E25" i="19" s="1"/>
  <c r="C24" i="19"/>
  <c r="E24" i="19" s="1"/>
  <c r="C23" i="19"/>
  <c r="D23" i="19" s="1"/>
  <c r="C22" i="19"/>
  <c r="D22" i="19" s="1"/>
  <c r="C21" i="19"/>
  <c r="E21" i="19" s="1"/>
  <c r="C20" i="19"/>
  <c r="E20" i="19" s="1"/>
  <c r="C19" i="19"/>
  <c r="D19" i="19" s="1"/>
  <c r="C15" i="19"/>
  <c r="D15" i="19" s="1"/>
  <c r="C14" i="19"/>
  <c r="E14" i="19" s="1"/>
  <c r="C13" i="19"/>
  <c r="D13" i="19" s="1"/>
  <c r="C12" i="19"/>
  <c r="D12" i="19" s="1"/>
  <c r="C11" i="19"/>
  <c r="D11" i="19" s="1"/>
  <c r="C10" i="19"/>
  <c r="E10" i="19" s="1"/>
  <c r="C7" i="19"/>
  <c r="C5" i="19"/>
  <c r="C4" i="19"/>
  <c r="C3" i="19"/>
  <c r="E19" i="19" l="1"/>
  <c r="D20" i="19"/>
  <c r="E11" i="19"/>
  <c r="D30" i="19"/>
  <c r="E31" i="19"/>
  <c r="I31" i="19" s="1"/>
  <c r="D43" i="19"/>
  <c r="E35" i="19"/>
  <c r="I35" i="19" s="1"/>
  <c r="D33" i="19"/>
  <c r="E22" i="19"/>
  <c r="I22" i="19" s="1"/>
  <c r="N49" i="2"/>
  <c r="D24" i="19"/>
  <c r="D34" i="19"/>
  <c r="E12" i="19"/>
  <c r="I12" i="19" s="1"/>
  <c r="E23" i="19"/>
  <c r="E40" i="19"/>
  <c r="I40" i="19" s="1"/>
  <c r="D29" i="19"/>
  <c r="D37" i="19"/>
  <c r="E15" i="19"/>
  <c r="I15" i="19" s="1"/>
  <c r="E27" i="19"/>
  <c r="I27" i="19" s="1"/>
  <c r="E46" i="19"/>
  <c r="I46" i="19" s="1"/>
  <c r="D39" i="19"/>
  <c r="D45" i="19"/>
  <c r="D48" i="19" s="1"/>
  <c r="E28" i="19"/>
  <c r="I28" i="19" s="1"/>
  <c r="E32" i="19"/>
  <c r="I32" i="19" s="1"/>
  <c r="E36" i="19"/>
  <c r="I36" i="19" s="1"/>
  <c r="E42" i="19"/>
  <c r="I42" i="19" s="1"/>
  <c r="E13" i="19"/>
  <c r="I13" i="19" s="1"/>
  <c r="D10" i="19"/>
  <c r="D14" i="19"/>
  <c r="D21" i="19"/>
  <c r="D25" i="19"/>
  <c r="I20" i="19"/>
  <c r="I24" i="19"/>
  <c r="I19" i="19"/>
  <c r="I23" i="19"/>
  <c r="I29" i="19"/>
  <c r="I33" i="19"/>
  <c r="I37" i="19"/>
  <c r="I43" i="19"/>
  <c r="I11" i="19"/>
  <c r="I10" i="19"/>
  <c r="I14" i="19"/>
  <c r="I21" i="19"/>
  <c r="I25" i="19"/>
  <c r="I30" i="19"/>
  <c r="I34" i="19"/>
  <c r="I39" i="19"/>
  <c r="I45" i="19"/>
  <c r="B7" i="12"/>
  <c r="D16" i="19" l="1"/>
  <c r="D26" i="19"/>
  <c r="D38" i="19"/>
  <c r="D44" i="19"/>
  <c r="D41" i="19"/>
  <c r="B52" i="2"/>
  <c r="B50" i="2"/>
  <c r="B49" i="2"/>
  <c r="B46" i="2"/>
  <c r="B45" i="2"/>
  <c r="B43" i="2"/>
  <c r="B42" i="2"/>
  <c r="B40" i="2"/>
  <c r="B39" i="2"/>
  <c r="B28" i="2"/>
  <c r="B27" i="2"/>
  <c r="B20" i="2"/>
  <c r="B19" i="2"/>
  <c r="B17" i="2"/>
  <c r="B10" i="2"/>
  <c r="P8" i="2"/>
  <c r="G8" i="2"/>
  <c r="F8" i="2"/>
  <c r="E8" i="2"/>
  <c r="D8" i="2"/>
  <c r="C8" i="2"/>
  <c r="B8" i="2"/>
  <c r="H4" i="8"/>
  <c r="B47" i="8"/>
  <c r="B45" i="8"/>
  <c r="B44" i="8"/>
  <c r="B41" i="8"/>
  <c r="B40" i="8"/>
  <c r="B38" i="8"/>
  <c r="B37" i="8"/>
  <c r="B35" i="8"/>
  <c r="B34" i="8"/>
  <c r="B23" i="8"/>
  <c r="B22" i="8"/>
  <c r="B15" i="8"/>
  <c r="B14" i="8"/>
  <c r="B12" i="8"/>
  <c r="B5" i="8"/>
  <c r="C4" i="8"/>
  <c r="B4" i="8"/>
  <c r="A51" i="15"/>
  <c r="A49" i="15"/>
  <c r="A48" i="15"/>
  <c r="A45" i="15"/>
  <c r="A44" i="15"/>
  <c r="A42" i="15"/>
  <c r="A41" i="15"/>
  <c r="A39" i="15"/>
  <c r="A38" i="15"/>
  <c r="A27" i="15"/>
  <c r="A26" i="15"/>
  <c r="A19" i="15"/>
  <c r="A18" i="15"/>
  <c r="A16" i="15"/>
  <c r="A9" i="15"/>
  <c r="B7" i="15"/>
  <c r="A7" i="15"/>
  <c r="K7" i="12"/>
  <c r="A53" i="12"/>
  <c r="A51" i="12"/>
  <c r="A49" i="12"/>
  <c r="A48" i="12"/>
  <c r="A45" i="12"/>
  <c r="A44" i="12"/>
  <c r="A42" i="12"/>
  <c r="A41" i="12"/>
  <c r="A39" i="12"/>
  <c r="A38" i="12"/>
  <c r="A27" i="12"/>
  <c r="A26" i="12"/>
  <c r="A19" i="12"/>
  <c r="A18" i="12"/>
  <c r="A16" i="12"/>
  <c r="A9" i="12"/>
  <c r="A7" i="12"/>
  <c r="D49" i="19" l="1"/>
  <c r="D51" i="19" s="1"/>
  <c r="G42" i="8"/>
  <c r="G41" i="8"/>
  <c r="G39" i="8"/>
  <c r="G38" i="8"/>
  <c r="G36" i="8"/>
  <c r="G35" i="8"/>
  <c r="G33" i="8"/>
  <c r="G32" i="8"/>
  <c r="G31" i="8"/>
  <c r="G30" i="8"/>
  <c r="G29" i="8"/>
  <c r="G28" i="8"/>
  <c r="G27" i="8"/>
  <c r="G26" i="8"/>
  <c r="G25" i="8"/>
  <c r="G24" i="8"/>
  <c r="G23" i="8"/>
  <c r="G21" i="8"/>
  <c r="G20" i="8"/>
  <c r="G19" i="8"/>
  <c r="G18" i="8"/>
  <c r="G17" i="8"/>
  <c r="G16" i="8"/>
  <c r="G15" i="8"/>
  <c r="G11" i="8"/>
  <c r="G10" i="8"/>
  <c r="G9" i="8"/>
  <c r="G8" i="8"/>
  <c r="G7" i="8"/>
  <c r="G6" i="8"/>
  <c r="I7" i="13"/>
  <c r="A53" i="13"/>
  <c r="A55" i="11"/>
  <c r="A55" i="12" s="1"/>
  <c r="A54" i="11"/>
  <c r="A54" i="12" s="1"/>
  <c r="A51" i="11"/>
  <c r="A51" i="13" s="1"/>
  <c r="A49" i="11"/>
  <c r="A49" i="13" s="1"/>
  <c r="A48" i="11"/>
  <c r="A48" i="13" s="1"/>
  <c r="A45" i="11"/>
  <c r="A45" i="13" s="1"/>
  <c r="A44" i="11"/>
  <c r="A44" i="13" s="1"/>
  <c r="A42" i="11"/>
  <c r="A42" i="13" s="1"/>
  <c r="A41" i="11"/>
  <c r="A41" i="13" s="1"/>
  <c r="A39" i="11"/>
  <c r="A39" i="13" s="1"/>
  <c r="A38" i="11"/>
  <c r="A38" i="13" s="1"/>
  <c r="A27" i="11"/>
  <c r="A27" i="13" s="1"/>
  <c r="A26" i="11"/>
  <c r="A26" i="13" s="1"/>
  <c r="A9" i="11"/>
  <c r="A9" i="13" s="1"/>
  <c r="A19" i="11"/>
  <c r="A19" i="13" s="1"/>
  <c r="A18" i="11"/>
  <c r="A18" i="13" s="1"/>
  <c r="A16" i="11"/>
  <c r="A16" i="13" s="1"/>
  <c r="F7" i="11"/>
  <c r="E7" i="11"/>
  <c r="D7" i="11"/>
  <c r="C7" i="11"/>
  <c r="B7" i="11"/>
  <c r="B7" i="13" s="1"/>
  <c r="A7" i="11"/>
  <c r="A7" i="13" s="1"/>
  <c r="A54" i="13" l="1"/>
  <c r="A55" i="13"/>
  <c r="C46" i="7" l="1"/>
  <c r="G32" i="17" l="1"/>
  <c r="G30" i="17"/>
  <c r="G28" i="17"/>
  <c r="G27" i="17"/>
  <c r="G26" i="17"/>
  <c r="G24" i="17"/>
  <c r="G20" i="17"/>
  <c r="G19" i="17"/>
  <c r="G18" i="17"/>
  <c r="G16" i="17"/>
  <c r="G14" i="17"/>
  <c r="G12" i="17"/>
  <c r="G11" i="17"/>
  <c r="G10" i="17"/>
  <c r="G8" i="17"/>
  <c r="G6" i="17"/>
  <c r="G5" i="17"/>
  <c r="G7" i="17"/>
  <c r="G9" i="17"/>
  <c r="G13" i="17"/>
  <c r="G15" i="17"/>
  <c r="G17" i="17"/>
  <c r="G21" i="17"/>
  <c r="G22" i="17"/>
  <c r="G23" i="17"/>
  <c r="G25" i="17"/>
  <c r="G29" i="17"/>
  <c r="G31" i="17"/>
  <c r="G33" i="17"/>
  <c r="G34" i="17"/>
  <c r="B44" i="10" l="1"/>
  <c r="B42" i="10"/>
  <c r="B41" i="10"/>
  <c r="B39" i="10"/>
  <c r="B38" i="10"/>
  <c r="B35" i="10"/>
  <c r="B34" i="10"/>
  <c r="B33" i="10"/>
  <c r="B32" i="10"/>
  <c r="C47" i="2"/>
  <c r="C46" i="2"/>
  <c r="C44" i="2"/>
  <c r="C43" i="2"/>
  <c r="C41" i="2"/>
  <c r="C40" i="2"/>
  <c r="C38" i="2"/>
  <c r="C37" i="2"/>
  <c r="C36" i="2"/>
  <c r="C35" i="2"/>
  <c r="C34" i="2"/>
  <c r="E29" i="8"/>
  <c r="C42" i="8"/>
  <c r="C41" i="8"/>
  <c r="C39" i="8"/>
  <c r="C38" i="8"/>
  <c r="C36" i="8"/>
  <c r="C35" i="8"/>
  <c r="C33" i="8"/>
  <c r="C32" i="8"/>
  <c r="C31" i="8"/>
  <c r="C30" i="8"/>
  <c r="C29" i="8"/>
  <c r="B46" i="15"/>
  <c r="B45" i="15"/>
  <c r="B43" i="15"/>
  <c r="B42" i="15"/>
  <c r="B40" i="15"/>
  <c r="B39" i="15"/>
  <c r="B37" i="15"/>
  <c r="B36" i="15"/>
  <c r="B35" i="15"/>
  <c r="B34" i="15"/>
  <c r="B33" i="15"/>
  <c r="B46" i="12"/>
  <c r="B45" i="12"/>
  <c r="B43" i="12"/>
  <c r="B42" i="12"/>
  <c r="B40" i="12"/>
  <c r="B39" i="12"/>
  <c r="B37" i="12"/>
  <c r="B36" i="12"/>
  <c r="B35" i="12"/>
  <c r="B34" i="12"/>
  <c r="B33" i="12"/>
  <c r="B46" i="13"/>
  <c r="B45" i="13"/>
  <c r="B43" i="13"/>
  <c r="B42" i="13"/>
  <c r="B40" i="13"/>
  <c r="B39" i="13"/>
  <c r="B37" i="13"/>
  <c r="B36" i="13"/>
  <c r="B35" i="13"/>
  <c r="B34" i="13"/>
  <c r="B33" i="13"/>
  <c r="B45" i="11"/>
  <c r="B43" i="11"/>
  <c r="B42" i="11"/>
  <c r="B40" i="11"/>
  <c r="B39" i="11"/>
  <c r="B37" i="11"/>
  <c r="B36" i="11"/>
  <c r="B35" i="11"/>
  <c r="B34" i="11"/>
  <c r="B33" i="11"/>
  <c r="F24" i="17"/>
  <c r="H24" i="17"/>
  <c r="F33" i="19" s="1"/>
  <c r="I24" i="17" l="1"/>
  <c r="J24" i="17" s="1"/>
  <c r="C33" i="15"/>
  <c r="E33" i="15"/>
  <c r="D33" i="13"/>
  <c r="F33" i="13"/>
  <c r="E33" i="13"/>
  <c r="F33" i="12"/>
  <c r="F33" i="11"/>
  <c r="C32" i="10"/>
  <c r="D33" i="15"/>
  <c r="H29" i="8"/>
  <c r="G34" i="2"/>
  <c r="O24" i="17"/>
  <c r="G33" i="13" l="1"/>
  <c r="I33" i="12"/>
  <c r="H32" i="10"/>
  <c r="B6" i="2" l="1"/>
  <c r="B5" i="2"/>
  <c r="B4" i="2"/>
  <c r="A5" i="15"/>
  <c r="A4" i="15"/>
  <c r="A3" i="15"/>
  <c r="A5" i="12"/>
  <c r="A4" i="12"/>
  <c r="A3" i="12"/>
  <c r="A5" i="13"/>
  <c r="A4" i="13"/>
  <c r="A3" i="13"/>
  <c r="A5" i="11"/>
  <c r="A4" i="11"/>
  <c r="A3" i="11"/>
  <c r="F7" i="12"/>
  <c r="E7" i="12"/>
  <c r="D7" i="12"/>
  <c r="C7" i="12"/>
  <c r="D7" i="13"/>
  <c r="C7" i="13"/>
  <c r="A5" i="10"/>
  <c r="A4" i="10"/>
  <c r="A3" i="10"/>
  <c r="C44" i="7" l="1"/>
  <c r="C43" i="7"/>
  <c r="C9" i="7" l="1"/>
  <c r="C6" i="7"/>
  <c r="B6" i="7"/>
  <c r="C11" i="7" l="1"/>
  <c r="O30" i="17" l="1"/>
  <c r="O32" i="17"/>
  <c r="O13" i="17"/>
  <c r="O15" i="17"/>
  <c r="O12" i="17"/>
  <c r="O26" i="17"/>
  <c r="O17" i="17"/>
  <c r="O9" i="17"/>
  <c r="O20" i="17"/>
  <c r="O29" i="17"/>
  <c r="O34" i="17"/>
  <c r="O23" i="17"/>
  <c r="O22" i="17"/>
  <c r="O10" i="17"/>
  <c r="O6" i="17"/>
  <c r="O31" i="17"/>
  <c r="O28" i="17"/>
  <c r="O19" i="17"/>
  <c r="O11" i="17"/>
  <c r="O25" i="17"/>
  <c r="O8" i="17"/>
  <c r="O21" i="17"/>
  <c r="O5" i="17"/>
  <c r="O33" i="17"/>
  <c r="O16" i="17"/>
  <c r="O18" i="17"/>
  <c r="O7" i="17"/>
  <c r="O27" i="17"/>
  <c r="O14" i="17" l="1"/>
  <c r="C4" i="2" l="1"/>
  <c r="B3" i="15"/>
  <c r="C17" i="7" l="1"/>
  <c r="C19" i="7" s="1"/>
  <c r="B3" i="12"/>
  <c r="B3" i="13"/>
  <c r="B3" i="11"/>
  <c r="H12" i="17" l="1"/>
  <c r="F20" i="19" s="1"/>
  <c r="H8" i="17"/>
  <c r="F13" i="19" s="1"/>
  <c r="H13" i="17"/>
  <c r="F21" i="19" s="1"/>
  <c r="H21" i="17"/>
  <c r="F30" i="19" s="1"/>
  <c r="H30" i="17"/>
  <c r="F40" i="19" s="1"/>
  <c r="H31" i="17"/>
  <c r="F42" i="19" s="1"/>
  <c r="H15" i="17"/>
  <c r="F23" i="19" s="1"/>
  <c r="H32" i="17"/>
  <c r="F43" i="19" s="1"/>
  <c r="H16" i="17"/>
  <c r="F24" i="19" s="1"/>
  <c r="H33" i="17"/>
  <c r="F45" i="19" s="1"/>
  <c r="H17" i="17"/>
  <c r="F25" i="19" s="1"/>
  <c r="H34" i="17"/>
  <c r="F46" i="19" s="1"/>
  <c r="H10" i="17"/>
  <c r="F15" i="19" s="1"/>
  <c r="H18" i="17"/>
  <c r="F27" i="19" s="1"/>
  <c r="H27" i="17"/>
  <c r="F36" i="19" s="1"/>
  <c r="H11" i="17"/>
  <c r="F19" i="19" s="1"/>
  <c r="H19" i="17"/>
  <c r="F28" i="19" s="1"/>
  <c r="H28" i="17"/>
  <c r="F37" i="19" s="1"/>
  <c r="H20" i="17"/>
  <c r="F29" i="19" s="1"/>
  <c r="H29" i="17"/>
  <c r="F39" i="19" s="1"/>
  <c r="H6" i="17"/>
  <c r="F11" i="19" s="1"/>
  <c r="H14" i="17"/>
  <c r="F22" i="19" s="1"/>
  <c r="H22" i="17"/>
  <c r="F31" i="19" s="1"/>
  <c r="H7" i="17"/>
  <c r="F12" i="19" s="1"/>
  <c r="H23" i="17"/>
  <c r="F32" i="19" s="1"/>
  <c r="H25" i="17"/>
  <c r="F34" i="19" s="1"/>
  <c r="H9" i="17"/>
  <c r="F14" i="19" s="1"/>
  <c r="H26" i="17"/>
  <c r="F35" i="19" s="1"/>
  <c r="F8" i="17"/>
  <c r="F16" i="17"/>
  <c r="F25" i="17"/>
  <c r="F33" i="17"/>
  <c r="F9" i="17"/>
  <c r="F17" i="17"/>
  <c r="F26" i="17"/>
  <c r="F34" i="17"/>
  <c r="F12" i="17"/>
  <c r="F20" i="17"/>
  <c r="F29" i="17"/>
  <c r="F13" i="17"/>
  <c r="F30" i="17"/>
  <c r="F14" i="17"/>
  <c r="F31" i="17"/>
  <c r="F5" i="17"/>
  <c r="F21" i="17"/>
  <c r="F7" i="17"/>
  <c r="F15" i="17"/>
  <c r="F23" i="17"/>
  <c r="F32" i="17"/>
  <c r="F10" i="17"/>
  <c r="F18" i="17"/>
  <c r="F27" i="17"/>
  <c r="F11" i="17"/>
  <c r="F19" i="17"/>
  <c r="F28" i="17"/>
  <c r="F6" i="17"/>
  <c r="F22" i="17"/>
  <c r="F48" i="19" l="1"/>
  <c r="F44" i="19"/>
  <c r="F41" i="19"/>
  <c r="F38" i="19"/>
  <c r="F26" i="19"/>
  <c r="I26" i="17"/>
  <c r="J26" i="17" s="1"/>
  <c r="I7" i="17"/>
  <c r="J7" i="17" s="1"/>
  <c r="I29" i="17"/>
  <c r="J29" i="17" s="1"/>
  <c r="I11" i="17"/>
  <c r="J11" i="17" s="1"/>
  <c r="I34" i="17"/>
  <c r="J34" i="17" s="1"/>
  <c r="I32" i="17"/>
  <c r="J32" i="17" s="1"/>
  <c r="I21" i="17"/>
  <c r="J21" i="17" s="1"/>
  <c r="I9" i="17"/>
  <c r="J9" i="17" s="1"/>
  <c r="I22" i="17"/>
  <c r="J22" i="17" s="1"/>
  <c r="I20" i="17"/>
  <c r="J20" i="17" s="1"/>
  <c r="I27" i="17"/>
  <c r="J27" i="17" s="1"/>
  <c r="I17" i="17"/>
  <c r="J17" i="17" s="1"/>
  <c r="I15" i="17"/>
  <c r="J15" i="17" s="1"/>
  <c r="I13" i="17"/>
  <c r="J13" i="17" s="1"/>
  <c r="I25" i="17"/>
  <c r="J25" i="17" s="1"/>
  <c r="I14" i="17"/>
  <c r="J14" i="17" s="1"/>
  <c r="I28" i="17"/>
  <c r="J28" i="17" s="1"/>
  <c r="I18" i="17"/>
  <c r="J18" i="17" s="1"/>
  <c r="I33" i="17"/>
  <c r="J33" i="17" s="1"/>
  <c r="I31" i="17"/>
  <c r="J31" i="17" s="1"/>
  <c r="I8" i="17"/>
  <c r="J8" i="17" s="1"/>
  <c r="I23" i="17"/>
  <c r="J23" i="17" s="1"/>
  <c r="I6" i="17"/>
  <c r="J6" i="17" s="1"/>
  <c r="I19" i="17"/>
  <c r="J19" i="17" s="1"/>
  <c r="I10" i="17"/>
  <c r="J10" i="17" s="1"/>
  <c r="I16" i="17"/>
  <c r="J16" i="17" s="1"/>
  <c r="I30" i="17"/>
  <c r="J30" i="17" s="1"/>
  <c r="I12" i="17"/>
  <c r="J12" i="17" s="1"/>
  <c r="H5" i="17"/>
  <c r="F10" i="19" s="1"/>
  <c r="C5" i="2"/>
  <c r="B4" i="15"/>
  <c r="B4" i="12"/>
  <c r="B4" i="13"/>
  <c r="B4" i="11"/>
  <c r="F49" i="19" l="1"/>
  <c r="F16" i="19"/>
  <c r="F51" i="19" s="1"/>
  <c r="I5" i="17"/>
  <c r="J5" i="17" s="1"/>
  <c r="K9" i="2"/>
  <c r="J9" i="2"/>
  <c r="I9" i="2"/>
  <c r="B31" i="10"/>
  <c r="B30" i="10"/>
  <c r="B28" i="10"/>
  <c r="B27" i="10"/>
  <c r="B26" i="10"/>
  <c r="B24" i="10"/>
  <c r="B23" i="10"/>
  <c r="B22" i="10"/>
  <c r="B21" i="10"/>
  <c r="B20" i="10"/>
  <c r="B19" i="10"/>
  <c r="B18" i="10"/>
  <c r="B14" i="10"/>
  <c r="B13" i="10"/>
  <c r="B12" i="10"/>
  <c r="B11" i="10"/>
  <c r="B10" i="10"/>
  <c r="B9" i="10"/>
  <c r="C33" i="2"/>
  <c r="C32" i="2"/>
  <c r="C31" i="2"/>
  <c r="C30" i="2"/>
  <c r="C29" i="2"/>
  <c r="N29" i="2" s="1"/>
  <c r="N39" i="2" s="1"/>
  <c r="C28" i="2"/>
  <c r="C26" i="2"/>
  <c r="N26" i="2" s="1"/>
  <c r="C25" i="2"/>
  <c r="N25" i="2" s="1"/>
  <c r="C24" i="2"/>
  <c r="N24" i="2" s="1"/>
  <c r="C23" i="2"/>
  <c r="N23" i="2" s="1"/>
  <c r="C22" i="2"/>
  <c r="C21" i="2"/>
  <c r="C20" i="2"/>
  <c r="C16" i="2"/>
  <c r="C15" i="2"/>
  <c r="C14" i="2"/>
  <c r="C13" i="2"/>
  <c r="C12" i="2"/>
  <c r="C11" i="2"/>
  <c r="N11" i="2" s="1"/>
  <c r="N17" i="2" s="1"/>
  <c r="H42" i="8"/>
  <c r="H41" i="8"/>
  <c r="H39" i="8"/>
  <c r="H38" i="8"/>
  <c r="H36" i="8"/>
  <c r="H35" i="8"/>
  <c r="H33" i="8"/>
  <c r="H32" i="8"/>
  <c r="H31" i="8"/>
  <c r="H30" i="8"/>
  <c r="C28" i="8"/>
  <c r="H28" i="8" s="1"/>
  <c r="C27" i="8"/>
  <c r="H27" i="8" s="1"/>
  <c r="C26" i="8"/>
  <c r="H26" i="8" s="1"/>
  <c r="C25" i="8"/>
  <c r="H25" i="8" s="1"/>
  <c r="C24" i="8"/>
  <c r="H24" i="8" s="1"/>
  <c r="C23" i="8"/>
  <c r="H23" i="8" s="1"/>
  <c r="C21" i="8"/>
  <c r="H21" i="8" s="1"/>
  <c r="C20" i="8"/>
  <c r="H20" i="8" s="1"/>
  <c r="C19" i="8"/>
  <c r="H19" i="8" s="1"/>
  <c r="C18" i="8"/>
  <c r="H18" i="8" s="1"/>
  <c r="C17" i="8"/>
  <c r="H17" i="8" s="1"/>
  <c r="C16" i="8"/>
  <c r="H16" i="8" s="1"/>
  <c r="C15" i="8"/>
  <c r="H15" i="8" s="1"/>
  <c r="C11" i="8"/>
  <c r="H11" i="8" s="1"/>
  <c r="C10" i="8"/>
  <c r="H10" i="8" s="1"/>
  <c r="C9" i="8"/>
  <c r="H9" i="8" s="1"/>
  <c r="C8" i="8"/>
  <c r="H8" i="8" s="1"/>
  <c r="C7" i="8"/>
  <c r="H7" i="8" s="1"/>
  <c r="C6" i="8"/>
  <c r="B32" i="15"/>
  <c r="B31" i="15"/>
  <c r="B30" i="15"/>
  <c r="B29" i="15"/>
  <c r="B28" i="15"/>
  <c r="B27" i="15"/>
  <c r="B25" i="15"/>
  <c r="B24" i="15"/>
  <c r="B23" i="15"/>
  <c r="B22" i="15"/>
  <c r="B21" i="15"/>
  <c r="B20" i="15"/>
  <c r="B19" i="15"/>
  <c r="B15" i="15"/>
  <c r="B14" i="15"/>
  <c r="B13" i="15"/>
  <c r="B12" i="15"/>
  <c r="B11" i="15"/>
  <c r="B10" i="15"/>
  <c r="B32" i="12"/>
  <c r="B31" i="12"/>
  <c r="B30" i="12"/>
  <c r="B29" i="12"/>
  <c r="B28" i="12"/>
  <c r="B27" i="12"/>
  <c r="B25" i="12"/>
  <c r="B24" i="12"/>
  <c r="B23" i="12"/>
  <c r="B22" i="12"/>
  <c r="B21" i="12"/>
  <c r="B20" i="12"/>
  <c r="B19" i="12"/>
  <c r="B15" i="12"/>
  <c r="B14" i="12"/>
  <c r="B13" i="12"/>
  <c r="B12" i="12"/>
  <c r="B11" i="12"/>
  <c r="B10" i="12"/>
  <c r="I10" i="12" s="1"/>
  <c r="N27" i="2" l="1"/>
  <c r="N50" i="2" s="1"/>
  <c r="N52" i="2" s="1"/>
  <c r="H9" i="10"/>
  <c r="H37" i="8"/>
  <c r="H44" i="8"/>
  <c r="H34" i="8"/>
  <c r="H22" i="8"/>
  <c r="H40" i="8"/>
  <c r="I46" i="12"/>
  <c r="F46" i="12"/>
  <c r="H39" i="10"/>
  <c r="C39" i="10"/>
  <c r="I15" i="12"/>
  <c r="F15" i="12"/>
  <c r="H10" i="10"/>
  <c r="C10" i="10"/>
  <c r="H21" i="10"/>
  <c r="C21" i="10"/>
  <c r="H30" i="10"/>
  <c r="C30" i="10"/>
  <c r="H41" i="10"/>
  <c r="C41" i="10"/>
  <c r="I19" i="12"/>
  <c r="F19" i="12"/>
  <c r="I28" i="12"/>
  <c r="F28" i="12"/>
  <c r="I37" i="12"/>
  <c r="F37" i="12"/>
  <c r="C11" i="15"/>
  <c r="E11" i="15"/>
  <c r="D11" i="15"/>
  <c r="C22" i="15"/>
  <c r="E22" i="15"/>
  <c r="D22" i="15"/>
  <c r="C31" i="15"/>
  <c r="E31" i="15"/>
  <c r="D31" i="15"/>
  <c r="C42" i="15"/>
  <c r="E42" i="15"/>
  <c r="D42" i="15"/>
  <c r="H11" i="10"/>
  <c r="C11" i="10"/>
  <c r="H22" i="10"/>
  <c r="C22" i="10"/>
  <c r="H31" i="10"/>
  <c r="C31" i="10"/>
  <c r="H42" i="10"/>
  <c r="C42" i="10"/>
  <c r="F10" i="12"/>
  <c r="I25" i="12"/>
  <c r="F25" i="12"/>
  <c r="C29" i="15"/>
  <c r="E29" i="15"/>
  <c r="D29" i="15"/>
  <c r="H20" i="10"/>
  <c r="C20" i="10"/>
  <c r="I36" i="12"/>
  <c r="F36" i="12"/>
  <c r="C40" i="15"/>
  <c r="D40" i="15"/>
  <c r="E40" i="15"/>
  <c r="I29" i="12"/>
  <c r="F29" i="12"/>
  <c r="C12" i="15"/>
  <c r="E12" i="15"/>
  <c r="D12" i="15"/>
  <c r="C43" i="15"/>
  <c r="E43" i="15"/>
  <c r="D43" i="15"/>
  <c r="H23" i="10"/>
  <c r="C23" i="10"/>
  <c r="I30" i="12"/>
  <c r="F30" i="12"/>
  <c r="C34" i="15"/>
  <c r="E34" i="15"/>
  <c r="D34" i="15"/>
  <c r="H34" i="10"/>
  <c r="C34" i="10"/>
  <c r="I31" i="12"/>
  <c r="F31" i="12"/>
  <c r="C25" i="15"/>
  <c r="E25" i="15"/>
  <c r="D25" i="15"/>
  <c r="H14" i="10"/>
  <c r="C14" i="10"/>
  <c r="H26" i="10"/>
  <c r="C26" i="10"/>
  <c r="H35" i="10"/>
  <c r="C35" i="10"/>
  <c r="I14" i="12"/>
  <c r="F14" i="12"/>
  <c r="C20" i="15"/>
  <c r="E20" i="15"/>
  <c r="D20" i="15"/>
  <c r="I27" i="12"/>
  <c r="F27" i="12"/>
  <c r="C30" i="15"/>
  <c r="D30" i="15"/>
  <c r="E30" i="15"/>
  <c r="I39" i="12"/>
  <c r="F39" i="12"/>
  <c r="C32" i="15"/>
  <c r="E32" i="15"/>
  <c r="D32" i="15"/>
  <c r="H33" i="10"/>
  <c r="C33" i="10"/>
  <c r="I21" i="12"/>
  <c r="F21" i="12"/>
  <c r="C13" i="15"/>
  <c r="E13" i="15"/>
  <c r="D13" i="15"/>
  <c r="H13" i="10"/>
  <c r="C13" i="10"/>
  <c r="H45" i="10"/>
  <c r="C45" i="10"/>
  <c r="I11" i="12"/>
  <c r="F11" i="12"/>
  <c r="I42" i="12"/>
  <c r="F42" i="12"/>
  <c r="C35" i="15"/>
  <c r="E35" i="15"/>
  <c r="D35" i="15"/>
  <c r="I12" i="12"/>
  <c r="F12" i="12"/>
  <c r="I23" i="12"/>
  <c r="F23" i="12"/>
  <c r="I32" i="12"/>
  <c r="F32" i="12"/>
  <c r="I43" i="12"/>
  <c r="F43" i="12"/>
  <c r="C15" i="15"/>
  <c r="E15" i="15"/>
  <c r="D15" i="15"/>
  <c r="C27" i="15"/>
  <c r="D27" i="15"/>
  <c r="E27" i="15"/>
  <c r="C36" i="15"/>
  <c r="E36" i="15"/>
  <c r="D36" i="15"/>
  <c r="H18" i="10"/>
  <c r="C18" i="10"/>
  <c r="H27" i="10"/>
  <c r="C27" i="10"/>
  <c r="H36" i="10"/>
  <c r="C36" i="10"/>
  <c r="C9" i="10"/>
  <c r="I35" i="12"/>
  <c r="F35" i="12"/>
  <c r="C39" i="15"/>
  <c r="D39" i="15"/>
  <c r="E39" i="15"/>
  <c r="H29" i="10"/>
  <c r="C29" i="10"/>
  <c r="C10" i="15"/>
  <c r="E10" i="15"/>
  <c r="C21" i="15"/>
  <c r="D21" i="15"/>
  <c r="E21" i="15"/>
  <c r="I20" i="12"/>
  <c r="F20" i="12"/>
  <c r="C23" i="15"/>
  <c r="E23" i="15"/>
  <c r="D23" i="15"/>
  <c r="H12" i="10"/>
  <c r="C12" i="10"/>
  <c r="H44" i="10"/>
  <c r="C44" i="10"/>
  <c r="I40" i="12"/>
  <c r="F40" i="12"/>
  <c r="C24" i="15"/>
  <c r="E24" i="15"/>
  <c r="D24" i="15"/>
  <c r="C45" i="15"/>
  <c r="E45" i="15"/>
  <c r="D45" i="15"/>
  <c r="H24" i="10"/>
  <c r="C24" i="10"/>
  <c r="I22" i="12"/>
  <c r="F22" i="12"/>
  <c r="C14" i="15"/>
  <c r="D14" i="15"/>
  <c r="E14" i="15"/>
  <c r="C46" i="15"/>
  <c r="E46" i="15"/>
  <c r="D46" i="15"/>
  <c r="I13" i="12"/>
  <c r="F13" i="12"/>
  <c r="I24" i="12"/>
  <c r="F24" i="12"/>
  <c r="I34" i="12"/>
  <c r="F34" i="12"/>
  <c r="I45" i="12"/>
  <c r="F45" i="12"/>
  <c r="C19" i="15"/>
  <c r="D19" i="15"/>
  <c r="E19" i="15"/>
  <c r="C28" i="15"/>
  <c r="E28" i="15"/>
  <c r="D28" i="15"/>
  <c r="C37" i="15"/>
  <c r="D37" i="15"/>
  <c r="E37" i="15"/>
  <c r="H19" i="10"/>
  <c r="C19" i="10"/>
  <c r="H28" i="10"/>
  <c r="C28" i="10"/>
  <c r="H38" i="10"/>
  <c r="C38" i="10"/>
  <c r="D10" i="15"/>
  <c r="H6" i="8"/>
  <c r="G14" i="2"/>
  <c r="G25" i="2"/>
  <c r="G35" i="2"/>
  <c r="G46" i="2"/>
  <c r="G26" i="2"/>
  <c r="G47" i="2"/>
  <c r="G16" i="2"/>
  <c r="G37" i="2"/>
  <c r="G20" i="2"/>
  <c r="G38" i="2"/>
  <c r="G21" i="2"/>
  <c r="G30" i="2"/>
  <c r="G40" i="2"/>
  <c r="G11" i="2"/>
  <c r="G22" i="2"/>
  <c r="G31" i="2"/>
  <c r="G41" i="2"/>
  <c r="G15" i="2"/>
  <c r="G36" i="2"/>
  <c r="G28" i="2"/>
  <c r="G29" i="2"/>
  <c r="G12" i="2"/>
  <c r="G23" i="2"/>
  <c r="G32" i="2"/>
  <c r="G43" i="2"/>
  <c r="G13" i="2"/>
  <c r="G24" i="2"/>
  <c r="G33" i="2"/>
  <c r="G44" i="2"/>
  <c r="E10" i="10" l="1"/>
  <c r="E23" i="10"/>
  <c r="F44" i="12"/>
  <c r="G42" i="2"/>
  <c r="H45" i="8"/>
  <c r="C41" i="15"/>
  <c r="F41" i="12"/>
  <c r="C25" i="10"/>
  <c r="C47" i="10"/>
  <c r="E41" i="15"/>
  <c r="D38" i="15"/>
  <c r="C37" i="10"/>
  <c r="E44" i="15"/>
  <c r="G39" i="2"/>
  <c r="D41" i="15"/>
  <c r="C38" i="15"/>
  <c r="C44" i="15"/>
  <c r="C43" i="10"/>
  <c r="D26" i="15"/>
  <c r="E16" i="15"/>
  <c r="C16" i="15"/>
  <c r="D16" i="15"/>
  <c r="F16" i="12"/>
  <c r="E26" i="15"/>
  <c r="G45" i="2"/>
  <c r="G27" i="2"/>
  <c r="H12" i="8"/>
  <c r="C26" i="15"/>
  <c r="C15" i="10"/>
  <c r="G17" i="2"/>
  <c r="C40" i="10"/>
  <c r="E38" i="15"/>
  <c r="F38" i="12"/>
  <c r="D44" i="15"/>
  <c r="F26" i="12"/>
  <c r="D23" i="10"/>
  <c r="D10" i="10"/>
  <c r="D11" i="10"/>
  <c r="D33" i="12"/>
  <c r="E32" i="10"/>
  <c r="D33" i="11"/>
  <c r="C33" i="13"/>
  <c r="E34" i="2"/>
  <c r="D32" i="10"/>
  <c r="K24" i="17"/>
  <c r="C33" i="12"/>
  <c r="D34" i="2"/>
  <c r="C33" i="11"/>
  <c r="D36" i="10"/>
  <c r="E36" i="10"/>
  <c r="D38" i="10"/>
  <c r="E38" i="10"/>
  <c r="E12" i="2"/>
  <c r="E40" i="2"/>
  <c r="D12" i="2"/>
  <c r="E25" i="2"/>
  <c r="D38" i="2"/>
  <c r="D40" i="2"/>
  <c r="D13" i="2"/>
  <c r="E38" i="2"/>
  <c r="D25" i="2"/>
  <c r="C11" i="12"/>
  <c r="D37" i="12"/>
  <c r="C39" i="12"/>
  <c r="D11" i="12"/>
  <c r="D39" i="12"/>
  <c r="C24" i="12"/>
  <c r="C37" i="12"/>
  <c r="C12" i="12"/>
  <c r="D24" i="12"/>
  <c r="K28" i="17"/>
  <c r="K27" i="17"/>
  <c r="K31" i="17"/>
  <c r="K16" i="17"/>
  <c r="K29" i="17"/>
  <c r="K6" i="17"/>
  <c r="C37" i="13"/>
  <c r="B32" i="13"/>
  <c r="B31" i="13"/>
  <c r="B30" i="13"/>
  <c r="B29" i="13"/>
  <c r="B28" i="13"/>
  <c r="B27" i="13"/>
  <c r="B25" i="13"/>
  <c r="B24" i="13"/>
  <c r="B23" i="13"/>
  <c r="B22" i="13"/>
  <c r="B21" i="13"/>
  <c r="B20" i="13"/>
  <c r="B19" i="13"/>
  <c r="B15" i="13"/>
  <c r="B14" i="13"/>
  <c r="B13" i="13"/>
  <c r="B12" i="13"/>
  <c r="B11" i="13"/>
  <c r="C11" i="13" s="1"/>
  <c r="B10" i="13"/>
  <c r="F46" i="11"/>
  <c r="F45" i="11"/>
  <c r="F43" i="11"/>
  <c r="F42" i="11"/>
  <c r="F40" i="11"/>
  <c r="F39" i="11"/>
  <c r="F37" i="11"/>
  <c r="F36" i="11"/>
  <c r="F35" i="11"/>
  <c r="F34" i="11"/>
  <c r="B32" i="11"/>
  <c r="F32" i="11" s="1"/>
  <c r="B31" i="11"/>
  <c r="F31" i="11" s="1"/>
  <c r="B30" i="11"/>
  <c r="F30" i="11" s="1"/>
  <c r="B29" i="11"/>
  <c r="F29" i="11" s="1"/>
  <c r="B28" i="11"/>
  <c r="F28" i="11" s="1"/>
  <c r="B27" i="11"/>
  <c r="F27" i="11" s="1"/>
  <c r="B25" i="11"/>
  <c r="F25" i="11" s="1"/>
  <c r="B24" i="11"/>
  <c r="F24" i="11" s="1"/>
  <c r="B23" i="11"/>
  <c r="F23" i="11" s="1"/>
  <c r="B22" i="11"/>
  <c r="F22" i="11" s="1"/>
  <c r="B21" i="11"/>
  <c r="F21" i="11" s="1"/>
  <c r="B20" i="11"/>
  <c r="F20" i="11" s="1"/>
  <c r="B19" i="11"/>
  <c r="F19" i="11" s="1"/>
  <c r="B15" i="11"/>
  <c r="F15" i="11" s="1"/>
  <c r="B14" i="11"/>
  <c r="F14" i="11" s="1"/>
  <c r="B13" i="11"/>
  <c r="F13" i="11" s="1"/>
  <c r="B12" i="11"/>
  <c r="F12" i="11" s="1"/>
  <c r="B11" i="11"/>
  <c r="F11" i="11" s="1"/>
  <c r="B10" i="11"/>
  <c r="F10" i="11" s="1"/>
  <c r="F32" i="10" l="1"/>
  <c r="F10" i="10"/>
  <c r="F38" i="10"/>
  <c r="F36" i="10"/>
  <c r="F23" i="10"/>
  <c r="F49" i="12"/>
  <c r="F51" i="12" s="1"/>
  <c r="F44" i="11"/>
  <c r="C49" i="15"/>
  <c r="C51" i="15" s="1"/>
  <c r="H47" i="8"/>
  <c r="D49" i="15"/>
  <c r="D51" i="15" s="1"/>
  <c r="C48" i="10"/>
  <c r="C50" i="10" s="1"/>
  <c r="E49" i="15"/>
  <c r="E51" i="15" s="1"/>
  <c r="G50" i="2"/>
  <c r="G52" i="2" s="1"/>
  <c r="F26" i="11"/>
  <c r="F41" i="11"/>
  <c r="F38" i="11"/>
  <c r="F16" i="11"/>
  <c r="E33" i="11"/>
  <c r="H33" i="13"/>
  <c r="F34" i="2"/>
  <c r="G32" i="10"/>
  <c r="E33" i="12"/>
  <c r="G33" i="12"/>
  <c r="H33" i="12" s="1"/>
  <c r="J33" i="12" s="1"/>
  <c r="G23" i="10"/>
  <c r="G10" i="10"/>
  <c r="G38" i="10"/>
  <c r="G36" i="10"/>
  <c r="F38" i="2"/>
  <c r="C12" i="11"/>
  <c r="D11" i="11"/>
  <c r="E20" i="13"/>
  <c r="F20" i="13"/>
  <c r="D20" i="13"/>
  <c r="E29" i="13"/>
  <c r="F29" i="13"/>
  <c r="D29" i="13"/>
  <c r="F39" i="13"/>
  <c r="E39" i="13"/>
  <c r="D39" i="13"/>
  <c r="C39" i="13"/>
  <c r="E10" i="13"/>
  <c r="F10" i="13"/>
  <c r="D10" i="13"/>
  <c r="F21" i="13"/>
  <c r="E21" i="13"/>
  <c r="D21" i="13"/>
  <c r="E30" i="13"/>
  <c r="F30" i="13"/>
  <c r="D30" i="13"/>
  <c r="E40" i="13"/>
  <c r="F40" i="13"/>
  <c r="D40" i="13"/>
  <c r="F28" i="13"/>
  <c r="E28" i="13"/>
  <c r="D28" i="13"/>
  <c r="E22" i="13"/>
  <c r="F22" i="13"/>
  <c r="D22" i="13"/>
  <c r="F31" i="13"/>
  <c r="E31" i="13"/>
  <c r="D31" i="13"/>
  <c r="F42" i="13"/>
  <c r="E42" i="13"/>
  <c r="D42" i="13"/>
  <c r="D37" i="11"/>
  <c r="F12" i="13"/>
  <c r="E12" i="13"/>
  <c r="D12" i="13"/>
  <c r="E32" i="13"/>
  <c r="F32" i="13"/>
  <c r="D32" i="13"/>
  <c r="F13" i="13"/>
  <c r="E13" i="13"/>
  <c r="D13" i="13"/>
  <c r="E24" i="13"/>
  <c r="F24" i="13"/>
  <c r="D24" i="13"/>
  <c r="E34" i="13"/>
  <c r="F34" i="13"/>
  <c r="D34" i="13"/>
  <c r="E45" i="13"/>
  <c r="F45" i="13"/>
  <c r="D45" i="13"/>
  <c r="C39" i="11"/>
  <c r="F37" i="13"/>
  <c r="E37" i="13"/>
  <c r="D37" i="13"/>
  <c r="E11" i="13"/>
  <c r="F11" i="13"/>
  <c r="D11" i="13"/>
  <c r="E14" i="13"/>
  <c r="F14" i="13"/>
  <c r="D14" i="13"/>
  <c r="F25" i="13"/>
  <c r="E25" i="13"/>
  <c r="D25" i="13"/>
  <c r="F35" i="13"/>
  <c r="E35" i="13"/>
  <c r="D35" i="13"/>
  <c r="F46" i="13"/>
  <c r="E46" i="13"/>
  <c r="D46" i="13"/>
  <c r="C24" i="13"/>
  <c r="C37" i="11"/>
  <c r="E19" i="13"/>
  <c r="F19" i="13"/>
  <c r="D19" i="13"/>
  <c r="C24" i="11"/>
  <c r="E23" i="13"/>
  <c r="F23" i="13"/>
  <c r="D23" i="13"/>
  <c r="E43" i="13"/>
  <c r="F43" i="13"/>
  <c r="D43" i="13"/>
  <c r="E15" i="13"/>
  <c r="F15" i="13"/>
  <c r="D15" i="13"/>
  <c r="F27" i="13"/>
  <c r="E27" i="13"/>
  <c r="D27" i="13"/>
  <c r="E36" i="13"/>
  <c r="F36" i="13"/>
  <c r="D36" i="13"/>
  <c r="D24" i="11"/>
  <c r="D39" i="11"/>
  <c r="C11" i="11"/>
  <c r="F40" i="2"/>
  <c r="F49" i="11" l="1"/>
  <c r="F51" i="11" s="1"/>
  <c r="D44" i="13"/>
  <c r="D41" i="13"/>
  <c r="D26" i="13"/>
  <c r="D38" i="13"/>
  <c r="D16" i="13"/>
  <c r="C33" i="7"/>
  <c r="B5" i="15"/>
  <c r="E10" i="8"/>
  <c r="D49" i="13" l="1"/>
  <c r="D51" i="13" s="1"/>
  <c r="D14" i="10"/>
  <c r="D16" i="2"/>
  <c r="C15" i="12"/>
  <c r="C15" i="11"/>
  <c r="G14" i="13"/>
  <c r="E14" i="10" l="1"/>
  <c r="F14" i="10" s="1"/>
  <c r="E16" i="2"/>
  <c r="C15" i="13"/>
  <c r="D15" i="12"/>
  <c r="D15" i="11"/>
  <c r="K10" i="17"/>
  <c r="G14" i="10" l="1"/>
  <c r="G30" i="13" l="1"/>
  <c r="B5" i="13"/>
  <c r="B5" i="12"/>
  <c r="G8" i="11"/>
  <c r="B5" i="11"/>
  <c r="C28" i="7"/>
  <c r="C27" i="7"/>
  <c r="C6" i="2"/>
  <c r="C15" i="7"/>
  <c r="G45" i="13" l="1"/>
  <c r="C13" i="7"/>
  <c r="G35" i="13"/>
  <c r="G15" i="13"/>
  <c r="G28" i="13"/>
  <c r="G32" i="13"/>
  <c r="G37" i="13"/>
  <c r="G12" i="13"/>
  <c r="G20" i="13"/>
  <c r="G22" i="13"/>
  <c r="G24" i="13"/>
  <c r="G42" i="13"/>
  <c r="G39" i="13"/>
  <c r="G27" i="13"/>
  <c r="G29" i="13"/>
  <c r="G31" i="13"/>
  <c r="G34" i="13"/>
  <c r="G36" i="13"/>
  <c r="G10" i="13"/>
  <c r="G13" i="13"/>
  <c r="G19" i="13"/>
  <c r="G21" i="13"/>
  <c r="G23" i="13"/>
  <c r="G25" i="13"/>
  <c r="G46" i="13"/>
  <c r="G43" i="13"/>
  <c r="G40" i="13"/>
  <c r="G11" i="13"/>
  <c r="C29" i="7"/>
  <c r="C16" i="7" l="1"/>
  <c r="C23" i="7" l="1"/>
  <c r="C25" i="7" s="1"/>
  <c r="C30" i="7" s="1"/>
  <c r="C36" i="7"/>
  <c r="F47" i="15" l="1"/>
  <c r="G47" i="15" s="1"/>
  <c r="H48" i="2" s="1"/>
  <c r="F45" i="15"/>
  <c r="C34" i="7"/>
  <c r="C37" i="7" s="1"/>
  <c r="G12" i="12"/>
  <c r="D13" i="10" l="1"/>
  <c r="D15" i="2"/>
  <c r="D31" i="10"/>
  <c r="D33" i="2"/>
  <c r="D33" i="10"/>
  <c r="D35" i="2"/>
  <c r="E33" i="10"/>
  <c r="E35" i="2"/>
  <c r="D29" i="10"/>
  <c r="D31" i="2"/>
  <c r="E29" i="10"/>
  <c r="E31" i="2"/>
  <c r="E18" i="10"/>
  <c r="E20" i="2"/>
  <c r="E21" i="10"/>
  <c r="E23" i="2"/>
  <c r="D12" i="10"/>
  <c r="D14" i="2"/>
  <c r="D30" i="10"/>
  <c r="D32" i="2"/>
  <c r="E24" i="10"/>
  <c r="E26" i="2"/>
  <c r="E12" i="10"/>
  <c r="E14" i="2"/>
  <c r="D24" i="10"/>
  <c r="D26" i="2"/>
  <c r="E30" i="10"/>
  <c r="E32" i="2"/>
  <c r="C14" i="12"/>
  <c r="C14" i="11"/>
  <c r="C34" i="11"/>
  <c r="C34" i="12"/>
  <c r="D22" i="12"/>
  <c r="D22" i="11"/>
  <c r="C22" i="13"/>
  <c r="C30" i="12"/>
  <c r="C30" i="11"/>
  <c r="C32" i="11"/>
  <c r="C32" i="12"/>
  <c r="C19" i="13"/>
  <c r="D19" i="12"/>
  <c r="D19" i="11"/>
  <c r="D30" i="12"/>
  <c r="D30" i="11"/>
  <c r="C30" i="13"/>
  <c r="C13" i="11"/>
  <c r="C13" i="12"/>
  <c r="C31" i="12"/>
  <c r="C31" i="11"/>
  <c r="D25" i="11"/>
  <c r="C25" i="13"/>
  <c r="D25" i="12"/>
  <c r="D34" i="11"/>
  <c r="C34" i="13"/>
  <c r="D34" i="12"/>
  <c r="D13" i="11"/>
  <c r="C13" i="13"/>
  <c r="D13" i="12"/>
  <c r="C25" i="11"/>
  <c r="C25" i="12"/>
  <c r="D31" i="12"/>
  <c r="D31" i="11"/>
  <c r="C31" i="13"/>
  <c r="K22" i="17"/>
  <c r="K21" i="17"/>
  <c r="K25" i="17"/>
  <c r="K8" i="17"/>
  <c r="K17" i="17"/>
  <c r="F24" i="10" l="1"/>
  <c r="F29" i="10"/>
  <c r="F33" i="10"/>
  <c r="F12" i="10"/>
  <c r="F30" i="10"/>
  <c r="D11" i="2"/>
  <c r="G29" i="10"/>
  <c r="G24" i="10"/>
  <c r="G30" i="10"/>
  <c r="G33" i="10"/>
  <c r="G12" i="10"/>
  <c r="D18" i="10"/>
  <c r="F18" i="10" s="1"/>
  <c r="D20" i="2"/>
  <c r="E11" i="10"/>
  <c r="F11" i="10" s="1"/>
  <c r="E13" i="2"/>
  <c r="F13" i="2" s="1"/>
  <c r="E31" i="10"/>
  <c r="F31" i="10" s="1"/>
  <c r="E33" i="2"/>
  <c r="D19" i="10"/>
  <c r="D21" i="2"/>
  <c r="E9" i="10"/>
  <c r="E11" i="2"/>
  <c r="D20" i="10"/>
  <c r="D22" i="2"/>
  <c r="D9" i="10"/>
  <c r="D21" i="10"/>
  <c r="F21" i="10" s="1"/>
  <c r="D23" i="2"/>
  <c r="E19" i="10"/>
  <c r="E21" i="2"/>
  <c r="D22" i="10"/>
  <c r="D24" i="2"/>
  <c r="E20" i="10"/>
  <c r="E22" i="2"/>
  <c r="E22" i="10"/>
  <c r="E24" i="2"/>
  <c r="D21" i="12"/>
  <c r="D21" i="11"/>
  <c r="C21" i="13"/>
  <c r="H21" i="13" s="1"/>
  <c r="D23" i="12"/>
  <c r="D23" i="11"/>
  <c r="C23" i="13"/>
  <c r="H23" i="13" s="1"/>
  <c r="C21" i="12"/>
  <c r="G21" i="12" s="1"/>
  <c r="C21" i="11"/>
  <c r="C10" i="12"/>
  <c r="C10" i="11"/>
  <c r="C20" i="12"/>
  <c r="G20" i="12" s="1"/>
  <c r="C20" i="11"/>
  <c r="K11" i="17"/>
  <c r="C19" i="12"/>
  <c r="C19" i="11"/>
  <c r="C23" i="11"/>
  <c r="C23" i="12"/>
  <c r="D32" i="12"/>
  <c r="D32" i="11"/>
  <c r="C32" i="13"/>
  <c r="D10" i="12"/>
  <c r="D10" i="11"/>
  <c r="C10" i="13"/>
  <c r="D12" i="12"/>
  <c r="E12" i="12" s="1"/>
  <c r="D12" i="11"/>
  <c r="E12" i="11" s="1"/>
  <c r="C12" i="13"/>
  <c r="H12" i="13" s="1"/>
  <c r="K14" i="17"/>
  <c r="C22" i="12"/>
  <c r="C22" i="11"/>
  <c r="C20" i="13"/>
  <c r="H20" i="13" s="1"/>
  <c r="D20" i="12"/>
  <c r="D20" i="11"/>
  <c r="K15" i="17"/>
  <c r="H24" i="13"/>
  <c r="K7" i="17"/>
  <c r="K23" i="17"/>
  <c r="K13" i="17"/>
  <c r="K5" i="17"/>
  <c r="K12" i="17"/>
  <c r="G31" i="12"/>
  <c r="G32" i="12"/>
  <c r="G13" i="12"/>
  <c r="F14" i="2"/>
  <c r="G14" i="12"/>
  <c r="G15" i="12"/>
  <c r="H13" i="13"/>
  <c r="H31" i="13"/>
  <c r="H34" i="13"/>
  <c r="H22" i="13"/>
  <c r="H19" i="13"/>
  <c r="H25" i="13"/>
  <c r="H11" i="13"/>
  <c r="E37" i="11"/>
  <c r="H37" i="13"/>
  <c r="E37" i="12"/>
  <c r="G37" i="12"/>
  <c r="F9" i="10" l="1"/>
  <c r="F20" i="10"/>
  <c r="F19" i="10"/>
  <c r="F22" i="10"/>
  <c r="D26" i="11"/>
  <c r="D26" i="12"/>
  <c r="E27" i="2"/>
  <c r="H26" i="13"/>
  <c r="H10" i="13"/>
  <c r="E25" i="10"/>
  <c r="C26" i="13"/>
  <c r="C26" i="12"/>
  <c r="C16" i="12"/>
  <c r="D27" i="2"/>
  <c r="D17" i="2"/>
  <c r="D15" i="10"/>
  <c r="C26" i="11"/>
  <c r="D25" i="10"/>
  <c r="F25" i="10" s="1"/>
  <c r="C16" i="11"/>
  <c r="G19" i="10"/>
  <c r="G22" i="10"/>
  <c r="G18" i="10"/>
  <c r="G11" i="10"/>
  <c r="G21" i="10"/>
  <c r="G20" i="10"/>
  <c r="G9" i="10"/>
  <c r="G31" i="10"/>
  <c r="F21" i="2"/>
  <c r="F22" i="2"/>
  <c r="F24" i="2"/>
  <c r="K9" i="17"/>
  <c r="E13" i="10"/>
  <c r="E15" i="2"/>
  <c r="F15" i="2" s="1"/>
  <c r="E21" i="12"/>
  <c r="D14" i="11"/>
  <c r="E14" i="11" s="1"/>
  <c r="C14" i="13"/>
  <c r="H14" i="13" s="1"/>
  <c r="D14" i="12"/>
  <c r="E14" i="12" s="1"/>
  <c r="E25" i="12"/>
  <c r="F25" i="2"/>
  <c r="E13" i="12"/>
  <c r="E24" i="11"/>
  <c r="F16" i="2"/>
  <c r="G23" i="12"/>
  <c r="H23" i="12" s="1"/>
  <c r="G24" i="12"/>
  <c r="H24" i="12" s="1"/>
  <c r="E24" i="12"/>
  <c r="F26" i="2"/>
  <c r="H31" i="12"/>
  <c r="F32" i="2"/>
  <c r="F35" i="2"/>
  <c r="E34" i="12"/>
  <c r="E20" i="12"/>
  <c r="E31" i="12"/>
  <c r="G34" i="12"/>
  <c r="H34" i="12" s="1"/>
  <c r="F33" i="2"/>
  <c r="G25" i="12"/>
  <c r="H25" i="12" s="1"/>
  <c r="G22" i="12"/>
  <c r="H22" i="12" s="1"/>
  <c r="F23" i="2"/>
  <c r="G19" i="12"/>
  <c r="G10" i="12"/>
  <c r="E11" i="12"/>
  <c r="F12" i="2"/>
  <c r="H21" i="12"/>
  <c r="H32" i="13"/>
  <c r="E32" i="12"/>
  <c r="H13" i="12"/>
  <c r="H20" i="12"/>
  <c r="E31" i="11"/>
  <c r="H12" i="12"/>
  <c r="H15" i="13"/>
  <c r="E15" i="12"/>
  <c r="E25" i="11"/>
  <c r="E20" i="11"/>
  <c r="E32" i="11"/>
  <c r="E23" i="11"/>
  <c r="E21" i="11"/>
  <c r="E13" i="11"/>
  <c r="E15" i="11"/>
  <c r="E34" i="11"/>
  <c r="E22" i="11"/>
  <c r="E19" i="11"/>
  <c r="E10" i="11"/>
  <c r="E11" i="11"/>
  <c r="H37" i="12"/>
  <c r="E15" i="10" l="1"/>
  <c r="F15" i="10" s="1"/>
  <c r="F13" i="10"/>
  <c r="D16" i="11"/>
  <c r="D16" i="12"/>
  <c r="C16" i="13"/>
  <c r="E17" i="2"/>
  <c r="H16" i="13"/>
  <c r="E26" i="11"/>
  <c r="H10" i="12"/>
  <c r="H19" i="12"/>
  <c r="G26" i="12"/>
  <c r="E16" i="11"/>
  <c r="G15" i="11" s="1"/>
  <c r="G13" i="10"/>
  <c r="G25" i="10"/>
  <c r="E23" i="12"/>
  <c r="G11" i="12"/>
  <c r="H11" i="12" s="1"/>
  <c r="J11" i="12" s="1"/>
  <c r="E10" i="12"/>
  <c r="E22" i="12"/>
  <c r="F20" i="2"/>
  <c r="E19" i="12"/>
  <c r="F11" i="2"/>
  <c r="H32" i="12"/>
  <c r="H14" i="12"/>
  <c r="J14" i="12" s="1"/>
  <c r="H15" i="12"/>
  <c r="E6" i="8"/>
  <c r="E8" i="8"/>
  <c r="E9" i="8"/>
  <c r="E11" i="8"/>
  <c r="E15" i="8"/>
  <c r="E16" i="8"/>
  <c r="E17" i="8"/>
  <c r="E18" i="8"/>
  <c r="E19" i="8"/>
  <c r="E20" i="8"/>
  <c r="E21" i="8"/>
  <c r="E41" i="8"/>
  <c r="E42" i="8"/>
  <c r="E38" i="8"/>
  <c r="E39" i="8"/>
  <c r="E35" i="8"/>
  <c r="E36" i="8"/>
  <c r="E23" i="8"/>
  <c r="E24" i="8"/>
  <c r="E25" i="8"/>
  <c r="E26" i="8"/>
  <c r="E27" i="8"/>
  <c r="E28" i="8"/>
  <c r="E30" i="8"/>
  <c r="E31" i="8"/>
  <c r="E32" i="8"/>
  <c r="E33" i="8"/>
  <c r="E7" i="8"/>
  <c r="G15" i="10" l="1"/>
  <c r="G16" i="12"/>
  <c r="F27" i="2"/>
  <c r="E16" i="12"/>
  <c r="H16" i="12"/>
  <c r="E26" i="12"/>
  <c r="H26" i="12"/>
  <c r="F17" i="2"/>
  <c r="G12" i="11"/>
  <c r="G11" i="11"/>
  <c r="G13" i="11"/>
  <c r="G14" i="11"/>
  <c r="G10" i="11"/>
  <c r="C52" i="7"/>
  <c r="C51" i="7"/>
  <c r="G16" i="11" l="1"/>
  <c r="D52" i="7"/>
  <c r="E52" i="7" s="1"/>
  <c r="D51" i="7"/>
  <c r="C53" i="7"/>
  <c r="E51" i="7" l="1"/>
  <c r="F52" i="7"/>
  <c r="G52" i="7" s="1"/>
  <c r="F51" i="7"/>
  <c r="D53" i="7"/>
  <c r="G51" i="7" l="1"/>
  <c r="E53" i="7"/>
  <c r="H52" i="7"/>
  <c r="F53" i="7"/>
  <c r="J55" i="13"/>
  <c r="L55" i="12"/>
  <c r="H55" i="11"/>
  <c r="H51" i="7" l="1"/>
  <c r="L54" i="12"/>
  <c r="J54" i="13"/>
  <c r="H54" i="11"/>
  <c r="G53" i="7"/>
  <c r="H11" i="11" l="1"/>
  <c r="H53" i="7"/>
  <c r="C55" i="7" s="1"/>
  <c r="H15" i="11"/>
  <c r="E27" i="10"/>
  <c r="E29" i="2"/>
  <c r="D26" i="10"/>
  <c r="D28" i="2"/>
  <c r="D27" i="10"/>
  <c r="D29" i="2"/>
  <c r="E26" i="10"/>
  <c r="E28" i="2"/>
  <c r="C28" i="12"/>
  <c r="C28" i="11"/>
  <c r="C27" i="12"/>
  <c r="C27" i="11"/>
  <c r="C27" i="13"/>
  <c r="D27" i="11"/>
  <c r="D27" i="12"/>
  <c r="C28" i="13"/>
  <c r="D28" i="11"/>
  <c r="D28" i="12"/>
  <c r="K19" i="17"/>
  <c r="K18" i="17"/>
  <c r="F27" i="10" l="1"/>
  <c r="F26" i="10"/>
  <c r="D43" i="11"/>
  <c r="G26" i="10"/>
  <c r="G27" i="10"/>
  <c r="D43" i="12"/>
  <c r="E44" i="2"/>
  <c r="C43" i="13"/>
  <c r="H43" i="13" s="1"/>
  <c r="E42" i="10"/>
  <c r="E41" i="10"/>
  <c r="E43" i="2"/>
  <c r="D42" i="12"/>
  <c r="D42" i="11"/>
  <c r="C42" i="13"/>
  <c r="D41" i="10"/>
  <c r="D43" i="2"/>
  <c r="C42" i="12"/>
  <c r="C42" i="11"/>
  <c r="D35" i="10"/>
  <c r="C36" i="12"/>
  <c r="D37" i="2"/>
  <c r="C36" i="11"/>
  <c r="E35" i="10"/>
  <c r="E37" i="2"/>
  <c r="D36" i="12"/>
  <c r="C36" i="13"/>
  <c r="H36" i="13" s="1"/>
  <c r="D36" i="11"/>
  <c r="D34" i="10"/>
  <c r="D36" i="2"/>
  <c r="D42" i="10"/>
  <c r="D44" i="2"/>
  <c r="D28" i="10"/>
  <c r="D30" i="2"/>
  <c r="E28" i="10"/>
  <c r="E30" i="2"/>
  <c r="E39" i="10"/>
  <c r="E40" i="10" s="1"/>
  <c r="E41" i="2"/>
  <c r="E42" i="2" s="1"/>
  <c r="D39" i="10"/>
  <c r="D41" i="2"/>
  <c r="D42" i="2" s="1"/>
  <c r="E34" i="10"/>
  <c r="E36" i="2"/>
  <c r="C29" i="12"/>
  <c r="G29" i="12" s="1"/>
  <c r="C29" i="11"/>
  <c r="D35" i="11"/>
  <c r="C35" i="13"/>
  <c r="H35" i="13" s="1"/>
  <c r="D35" i="12"/>
  <c r="D40" i="12"/>
  <c r="D41" i="12" s="1"/>
  <c r="D40" i="11"/>
  <c r="D41" i="11" s="1"/>
  <c r="C40" i="13"/>
  <c r="K26" i="17"/>
  <c r="C35" i="11"/>
  <c r="C35" i="12"/>
  <c r="G35" i="12" s="1"/>
  <c r="C29" i="13"/>
  <c r="H29" i="13" s="1"/>
  <c r="D29" i="12"/>
  <c r="D29" i="11"/>
  <c r="C43" i="12"/>
  <c r="C43" i="11"/>
  <c r="C40" i="12"/>
  <c r="C40" i="11"/>
  <c r="C41" i="11" s="1"/>
  <c r="K30" i="17"/>
  <c r="K32" i="17"/>
  <c r="G30" i="12"/>
  <c r="K20" i="17"/>
  <c r="H30" i="13"/>
  <c r="G28" i="12"/>
  <c r="F29" i="2"/>
  <c r="G27" i="12"/>
  <c r="F28" i="2"/>
  <c r="H28" i="13"/>
  <c r="H27" i="13"/>
  <c r="G39" i="12"/>
  <c r="E39" i="12"/>
  <c r="H39" i="13"/>
  <c r="E39" i="11"/>
  <c r="J21" i="12"/>
  <c r="J20" i="12"/>
  <c r="F42" i="10" l="1"/>
  <c r="F41" i="10"/>
  <c r="F28" i="10"/>
  <c r="F34" i="10"/>
  <c r="D40" i="10"/>
  <c r="F40" i="10" s="1"/>
  <c r="F39" i="10"/>
  <c r="F35" i="10"/>
  <c r="E43" i="11"/>
  <c r="D44" i="11"/>
  <c r="D38" i="11"/>
  <c r="E37" i="10"/>
  <c r="D38" i="12"/>
  <c r="D44" i="12"/>
  <c r="E39" i="2"/>
  <c r="E43" i="10"/>
  <c r="C38" i="11"/>
  <c r="D43" i="10"/>
  <c r="D37" i="10"/>
  <c r="D39" i="2"/>
  <c r="D45" i="2"/>
  <c r="H40" i="13"/>
  <c r="H41" i="13" s="1"/>
  <c r="C41" i="13"/>
  <c r="H42" i="13"/>
  <c r="H44" i="13" s="1"/>
  <c r="C44" i="13"/>
  <c r="H38" i="13"/>
  <c r="E45" i="2"/>
  <c r="C38" i="13"/>
  <c r="C38" i="12"/>
  <c r="C44" i="11"/>
  <c r="H39" i="12"/>
  <c r="G40" i="12"/>
  <c r="H40" i="12" s="1"/>
  <c r="C41" i="12"/>
  <c r="G42" i="12"/>
  <c r="H42" i="12" s="1"/>
  <c r="C44" i="12"/>
  <c r="G42" i="10"/>
  <c r="G28" i="10"/>
  <c r="F44" i="2"/>
  <c r="G34" i="10"/>
  <c r="G35" i="10"/>
  <c r="G39" i="10"/>
  <c r="G41" i="10"/>
  <c r="F36" i="2"/>
  <c r="F30" i="2"/>
  <c r="F41" i="2"/>
  <c r="F42" i="2" s="1"/>
  <c r="E30" i="11"/>
  <c r="E42" i="12"/>
  <c r="E36" i="11"/>
  <c r="E42" i="11"/>
  <c r="E30" i="12"/>
  <c r="E36" i="12"/>
  <c r="H30" i="12"/>
  <c r="G36" i="12"/>
  <c r="H36" i="12" s="1"/>
  <c r="F37" i="2"/>
  <c r="F43" i="2"/>
  <c r="F31" i="2"/>
  <c r="E40" i="11"/>
  <c r="E41" i="11" s="1"/>
  <c r="E43" i="12"/>
  <c r="E27" i="12"/>
  <c r="E29" i="12"/>
  <c r="E35" i="12"/>
  <c r="E28" i="12"/>
  <c r="H28" i="12"/>
  <c r="H27" i="12"/>
  <c r="H29" i="12"/>
  <c r="H35" i="12"/>
  <c r="E28" i="11"/>
  <c r="E29" i="11"/>
  <c r="E35" i="11"/>
  <c r="G43" i="12"/>
  <c r="H43" i="12" s="1"/>
  <c r="E40" i="12"/>
  <c r="E41" i="12" s="1"/>
  <c r="E27" i="11"/>
  <c r="F43" i="10" l="1"/>
  <c r="G40" i="10"/>
  <c r="F37" i="10"/>
  <c r="E44" i="11"/>
  <c r="G38" i="12"/>
  <c r="F39" i="2"/>
  <c r="H44" i="12"/>
  <c r="G41" i="12"/>
  <c r="E38" i="11"/>
  <c r="H41" i="12"/>
  <c r="F45" i="2"/>
  <c r="H38" i="12"/>
  <c r="E38" i="12"/>
  <c r="E44" i="12"/>
  <c r="G44" i="12"/>
  <c r="G43" i="10"/>
  <c r="C45" i="12" l="1"/>
  <c r="K33" i="17"/>
  <c r="C45" i="11"/>
  <c r="D46" i="2"/>
  <c r="D44" i="10"/>
  <c r="D45" i="11"/>
  <c r="C45" i="13"/>
  <c r="D45" i="12"/>
  <c r="E44" i="10"/>
  <c r="E46" i="2"/>
  <c r="D46" i="11"/>
  <c r="E45" i="10"/>
  <c r="E47" i="2"/>
  <c r="C46" i="13"/>
  <c r="H46" i="13" s="1"/>
  <c r="D46" i="12"/>
  <c r="K34" i="17"/>
  <c r="D45" i="10"/>
  <c r="C46" i="11"/>
  <c r="D47" i="2"/>
  <c r="C46" i="12"/>
  <c r="G46" i="12" s="1"/>
  <c r="G37" i="10"/>
  <c r="E49" i="2" l="1"/>
  <c r="F45" i="10"/>
  <c r="F44" i="10"/>
  <c r="D49" i="11"/>
  <c r="D51" i="11" s="1"/>
  <c r="E50" i="2"/>
  <c r="E52" i="2" s="1"/>
  <c r="E47" i="10"/>
  <c r="E48" i="10" s="1"/>
  <c r="D49" i="12"/>
  <c r="D51" i="12" s="1"/>
  <c r="C49" i="13"/>
  <c r="C51" i="13" s="1"/>
  <c r="C49" i="11"/>
  <c r="C51" i="11" s="1"/>
  <c r="D47" i="10"/>
  <c r="D49" i="2"/>
  <c r="D50" i="2" s="1"/>
  <c r="D52" i="2" s="1"/>
  <c r="C49" i="12"/>
  <c r="C51" i="12" s="1"/>
  <c r="G44" i="10"/>
  <c r="G45" i="10"/>
  <c r="F47" i="2"/>
  <c r="F46" i="2"/>
  <c r="E46" i="12"/>
  <c r="G45" i="12"/>
  <c r="E45" i="12"/>
  <c r="H45" i="13"/>
  <c r="H46" i="12"/>
  <c r="J46" i="12" s="1"/>
  <c r="E46" i="11"/>
  <c r="E45" i="11"/>
  <c r="D48" i="10" l="1"/>
  <c r="G48" i="10" s="1"/>
  <c r="F47" i="10"/>
  <c r="E50" i="10"/>
  <c r="H49" i="13"/>
  <c r="E49" i="12"/>
  <c r="E51" i="12" s="1"/>
  <c r="E49" i="11"/>
  <c r="F49" i="2"/>
  <c r="F50" i="2" s="1"/>
  <c r="F52" i="2" s="1"/>
  <c r="H45" i="12"/>
  <c r="G49" i="12"/>
  <c r="G51" i="12" s="1"/>
  <c r="G47" i="10"/>
  <c r="E51" i="11" l="1"/>
  <c r="G47" i="11"/>
  <c r="H47" i="11" s="1"/>
  <c r="I48" i="2" s="1"/>
  <c r="H51" i="13"/>
  <c r="I47" i="13"/>
  <c r="J47" i="13" s="1"/>
  <c r="J48" i="2" s="1"/>
  <c r="D50" i="10"/>
  <c r="F50" i="10" s="1"/>
  <c r="F48" i="10"/>
  <c r="J45" i="12"/>
  <c r="H49" i="12"/>
  <c r="H51" i="12" s="1"/>
  <c r="G33" i="11"/>
  <c r="H33" i="11" s="1"/>
  <c r="G27" i="11"/>
  <c r="G32" i="11"/>
  <c r="G42" i="11"/>
  <c r="G23" i="11"/>
  <c r="G36" i="11"/>
  <c r="G24" i="11"/>
  <c r="G45" i="11"/>
  <c r="G39" i="11"/>
  <c r="G46" i="11"/>
  <c r="G19" i="11"/>
  <c r="G30" i="11"/>
  <c r="H30" i="11" s="1"/>
  <c r="G34" i="11"/>
  <c r="G22" i="11"/>
  <c r="G40" i="11"/>
  <c r="G35" i="11"/>
  <c r="G20" i="11"/>
  <c r="G21" i="11"/>
  <c r="G37" i="11"/>
  <c r="G25" i="11"/>
  <c r="G29" i="11"/>
  <c r="G43" i="11"/>
  <c r="G28" i="11"/>
  <c r="G31" i="11"/>
  <c r="G50" i="10" l="1"/>
  <c r="G41" i="11"/>
  <c r="G44" i="11"/>
  <c r="G26" i="11"/>
  <c r="G38" i="11"/>
  <c r="J43" i="12"/>
  <c r="J35" i="12"/>
  <c r="J12" i="12"/>
  <c r="J22" i="12"/>
  <c r="J40" i="12"/>
  <c r="J25" i="12"/>
  <c r="J34" i="12"/>
  <c r="J29" i="12"/>
  <c r="J27" i="12"/>
  <c r="J15" i="12"/>
  <c r="J30" i="12"/>
  <c r="J28" i="12"/>
  <c r="J32" i="12"/>
  <c r="J31" i="12"/>
  <c r="J36" i="12"/>
  <c r="J13" i="12"/>
  <c r="J23" i="12"/>
  <c r="J42" i="12"/>
  <c r="J37" i="12"/>
  <c r="J24" i="12"/>
  <c r="J39" i="12"/>
  <c r="J41" i="12" s="1"/>
  <c r="J19" i="12"/>
  <c r="J44" i="12" l="1"/>
  <c r="G49" i="11"/>
  <c r="J26" i="12"/>
  <c r="J38" i="12"/>
  <c r="I14" i="13"/>
  <c r="J14" i="13" s="1"/>
  <c r="I12" i="13"/>
  <c r="J12" i="13" s="1"/>
  <c r="I11" i="13"/>
  <c r="I13" i="13"/>
  <c r="J13" i="13" s="1"/>
  <c r="I15" i="13"/>
  <c r="J10" i="12"/>
  <c r="I10" i="13"/>
  <c r="I33" i="13"/>
  <c r="J33" i="13" s="1"/>
  <c r="H13" i="11"/>
  <c r="H12" i="11"/>
  <c r="H14" i="11"/>
  <c r="I12" i="2" l="1"/>
  <c r="I16" i="13"/>
  <c r="J49" i="12"/>
  <c r="J16" i="12"/>
  <c r="J10" i="13"/>
  <c r="J11" i="2" s="1"/>
  <c r="J15" i="13"/>
  <c r="J11" i="13"/>
  <c r="I21" i="13"/>
  <c r="J21" i="13" s="1"/>
  <c r="I20" i="13"/>
  <c r="J20" i="13" s="1"/>
  <c r="I46" i="13"/>
  <c r="J46" i="13" s="1"/>
  <c r="J47" i="2" s="1"/>
  <c r="I45" i="13"/>
  <c r="I32" i="13"/>
  <c r="J32" i="13" s="1"/>
  <c r="I27" i="13"/>
  <c r="I29" i="13"/>
  <c r="J29" i="13" s="1"/>
  <c r="J30" i="2" s="1"/>
  <c r="I34" i="13"/>
  <c r="J34" i="13" s="1"/>
  <c r="I24" i="13"/>
  <c r="J24" i="13" s="1"/>
  <c r="J25" i="2" s="1"/>
  <c r="I25" i="13"/>
  <c r="J25" i="13" s="1"/>
  <c r="J26" i="2" s="1"/>
  <c r="I40" i="13"/>
  <c r="J40" i="13" s="1"/>
  <c r="I19" i="13"/>
  <c r="I37" i="13"/>
  <c r="J37" i="13" s="1"/>
  <c r="J38" i="2" s="1"/>
  <c r="I36" i="13"/>
  <c r="J36" i="13" s="1"/>
  <c r="I35" i="13"/>
  <c r="J35" i="13" s="1"/>
  <c r="I31" i="13"/>
  <c r="J31" i="13" s="1"/>
  <c r="I23" i="13"/>
  <c r="J23" i="13" s="1"/>
  <c r="J24" i="2" s="1"/>
  <c r="I28" i="13"/>
  <c r="J28" i="13" s="1"/>
  <c r="J29" i="2" s="1"/>
  <c r="I39" i="13"/>
  <c r="I41" i="13" s="1"/>
  <c r="I30" i="13"/>
  <c r="J30" i="13" s="1"/>
  <c r="J31" i="2" s="1"/>
  <c r="I43" i="13"/>
  <c r="J43" i="13" s="1"/>
  <c r="I22" i="13"/>
  <c r="J22" i="13" s="1"/>
  <c r="J23" i="2" s="1"/>
  <c r="I42" i="13"/>
  <c r="H10" i="11"/>
  <c r="I11" i="2" s="1"/>
  <c r="K33" i="12" l="1"/>
  <c r="L33" i="12" s="1"/>
  <c r="K47" i="12"/>
  <c r="L47" i="12" s="1"/>
  <c r="K48" i="2" s="1"/>
  <c r="J33" i="2"/>
  <c r="J12" i="2"/>
  <c r="J51" i="12"/>
  <c r="K14" i="12"/>
  <c r="L14" i="12" s="1"/>
  <c r="J16" i="13"/>
  <c r="H16" i="11"/>
  <c r="I44" i="13"/>
  <c r="I38" i="13"/>
  <c r="I26" i="13"/>
  <c r="J39" i="13"/>
  <c r="J42" i="13"/>
  <c r="K11" i="12"/>
  <c r="L11" i="12" s="1"/>
  <c r="K12" i="12"/>
  <c r="L12" i="12" s="1"/>
  <c r="K13" i="12"/>
  <c r="L13" i="12" s="1"/>
  <c r="K15" i="12"/>
  <c r="L15" i="12" s="1"/>
  <c r="K21" i="12"/>
  <c r="L21" i="12" s="1"/>
  <c r="K19" i="12"/>
  <c r="K40" i="12"/>
  <c r="L40" i="12" s="1"/>
  <c r="K24" i="12"/>
  <c r="L24" i="12" s="1"/>
  <c r="K25" i="2" s="1"/>
  <c r="K42" i="12"/>
  <c r="K25" i="12"/>
  <c r="L25" i="12" s="1"/>
  <c r="K26" i="2" s="1"/>
  <c r="K36" i="12"/>
  <c r="L36" i="12" s="1"/>
  <c r="K29" i="12"/>
  <c r="L29" i="12" s="1"/>
  <c r="K30" i="2" s="1"/>
  <c r="K23" i="12"/>
  <c r="L23" i="12" s="1"/>
  <c r="K24" i="2" s="1"/>
  <c r="K39" i="12"/>
  <c r="K37" i="12"/>
  <c r="L37" i="12" s="1"/>
  <c r="K38" i="2" s="1"/>
  <c r="K30" i="12"/>
  <c r="L30" i="12" s="1"/>
  <c r="K27" i="12"/>
  <c r="K34" i="12"/>
  <c r="L34" i="12" s="1"/>
  <c r="K32" i="12"/>
  <c r="L32" i="12" s="1"/>
  <c r="K35" i="12"/>
  <c r="L35" i="12" s="1"/>
  <c r="K45" i="12"/>
  <c r="K31" i="12"/>
  <c r="L31" i="12" s="1"/>
  <c r="K28" i="12"/>
  <c r="L28" i="12" s="1"/>
  <c r="K29" i="2" s="1"/>
  <c r="K20" i="12"/>
  <c r="L20" i="12" s="1"/>
  <c r="K22" i="12"/>
  <c r="L22" i="12" s="1"/>
  <c r="K23" i="2" s="1"/>
  <c r="K43" i="12"/>
  <c r="L43" i="12" s="1"/>
  <c r="K46" i="12"/>
  <c r="L46" i="12" s="1"/>
  <c r="K47" i="2" s="1"/>
  <c r="K10" i="12"/>
  <c r="J19" i="13"/>
  <c r="J27" i="13"/>
  <c r="J45" i="13"/>
  <c r="H20" i="11"/>
  <c r="H21" i="11"/>
  <c r="H45" i="11"/>
  <c r="H46" i="11"/>
  <c r="I47" i="2" s="1"/>
  <c r="H19" i="11"/>
  <c r="H23" i="11"/>
  <c r="I24" i="2" s="1"/>
  <c r="H22" i="11"/>
  <c r="I23" i="2" s="1"/>
  <c r="H40" i="11"/>
  <c r="H37" i="11"/>
  <c r="I38" i="2" s="1"/>
  <c r="H31" i="11"/>
  <c r="I31" i="2" s="1"/>
  <c r="H28" i="11"/>
  <c r="I29" i="2" s="1"/>
  <c r="H29" i="11"/>
  <c r="I30" i="2" s="1"/>
  <c r="H35" i="11"/>
  <c r="H24" i="11"/>
  <c r="I25" i="2" s="1"/>
  <c r="H25" i="11"/>
  <c r="I26" i="2" s="1"/>
  <c r="H39" i="11"/>
  <c r="H42" i="11"/>
  <c r="H43" i="11"/>
  <c r="H36" i="11"/>
  <c r="H32" i="11"/>
  <c r="H34" i="11"/>
  <c r="I46" i="2" l="1"/>
  <c r="H48" i="11"/>
  <c r="J46" i="2"/>
  <c r="J49" i="2" s="1"/>
  <c r="J48" i="13"/>
  <c r="K31" i="2"/>
  <c r="K48" i="12"/>
  <c r="I49" i="2"/>
  <c r="I43" i="8"/>
  <c r="J43" i="8" s="1"/>
  <c r="K43" i="8" s="1"/>
  <c r="O48" i="2"/>
  <c r="P48" i="2" s="1"/>
  <c r="I46" i="10" s="1"/>
  <c r="I33" i="2"/>
  <c r="K33" i="2"/>
  <c r="I40" i="2"/>
  <c r="J20" i="2"/>
  <c r="K12" i="2"/>
  <c r="I43" i="2"/>
  <c r="J41" i="13"/>
  <c r="J40" i="2"/>
  <c r="I20" i="2"/>
  <c r="J38" i="13"/>
  <c r="J28" i="2"/>
  <c r="J44" i="13"/>
  <c r="J43" i="2"/>
  <c r="J17" i="2"/>
  <c r="I49" i="13"/>
  <c r="K16" i="12"/>
  <c r="H26" i="11"/>
  <c r="H44" i="11"/>
  <c r="H41" i="11"/>
  <c r="L45" i="12"/>
  <c r="K46" i="2" s="1"/>
  <c r="K49" i="2" s="1"/>
  <c r="L42" i="12"/>
  <c r="K44" i="12"/>
  <c r="L39" i="12"/>
  <c r="K41" i="12"/>
  <c r="L27" i="12"/>
  <c r="K38" i="12"/>
  <c r="L19" i="12"/>
  <c r="K26" i="12"/>
  <c r="J26" i="13"/>
  <c r="L10" i="12"/>
  <c r="H27" i="11"/>
  <c r="K11" i="2" l="1"/>
  <c r="I17" i="2"/>
  <c r="K20" i="2"/>
  <c r="K40" i="2"/>
  <c r="L38" i="12"/>
  <c r="K28" i="2"/>
  <c r="K43" i="2"/>
  <c r="H38" i="11"/>
  <c r="H49" i="11" s="1"/>
  <c r="H51" i="11" s="1"/>
  <c r="I28" i="2"/>
  <c r="J49" i="13"/>
  <c r="J51" i="13" s="1"/>
  <c r="K49" i="12"/>
  <c r="L16" i="12"/>
  <c r="L48" i="12" s="1"/>
  <c r="L26" i="12"/>
  <c r="L44" i="12"/>
  <c r="L41" i="12"/>
  <c r="I42" i="2" l="1"/>
  <c r="J39" i="2"/>
  <c r="J27" i="2"/>
  <c r="J45" i="2"/>
  <c r="J42" i="2"/>
  <c r="I39" i="2"/>
  <c r="I27" i="2"/>
  <c r="I45" i="2"/>
  <c r="L49" i="12"/>
  <c r="L51" i="12" s="1"/>
  <c r="K17" i="2" l="1"/>
  <c r="J50" i="2"/>
  <c r="J52" i="2" s="1"/>
  <c r="K42" i="2"/>
  <c r="K45" i="2"/>
  <c r="K27" i="2"/>
  <c r="K39" i="2"/>
  <c r="I50" i="2"/>
  <c r="I52" i="2" l="1"/>
  <c r="K50" i="2"/>
  <c r="K52" i="2" l="1"/>
  <c r="F46" i="15" l="1"/>
  <c r="F48" i="15" s="1"/>
  <c r="F25" i="15"/>
  <c r="F21" i="15"/>
  <c r="F19" i="15"/>
  <c r="F20" i="15"/>
  <c r="F23" i="15"/>
  <c r="F24" i="15"/>
  <c r="F22" i="15"/>
  <c r="F42" i="15"/>
  <c r="F43" i="15"/>
  <c r="F40" i="15"/>
  <c r="F39" i="15"/>
  <c r="F10" i="15"/>
  <c r="F12" i="15"/>
  <c r="F13" i="15"/>
  <c r="F11" i="15"/>
  <c r="F15" i="15"/>
  <c r="F14" i="15"/>
  <c r="F41" i="15" l="1"/>
  <c r="F44" i="15"/>
  <c r="F26" i="15"/>
  <c r="F16" i="15"/>
  <c r="G24" i="15"/>
  <c r="H25" i="2" s="1"/>
  <c r="G20" i="15"/>
  <c r="G39" i="15"/>
  <c r="G19" i="15"/>
  <c r="G13" i="15"/>
  <c r="G23" i="15"/>
  <c r="H24" i="2" s="1"/>
  <c r="G40" i="15"/>
  <c r="G43" i="15"/>
  <c r="G15" i="15"/>
  <c r="G42" i="15"/>
  <c r="G25" i="15"/>
  <c r="H26" i="2" s="1"/>
  <c r="G12" i="15"/>
  <c r="G10" i="15"/>
  <c r="H11" i="2" s="1"/>
  <c r="G45" i="15"/>
  <c r="H46" i="2" s="1"/>
  <c r="G14" i="15"/>
  <c r="G21" i="15"/>
  <c r="G22" i="15"/>
  <c r="H23" i="2" s="1"/>
  <c r="G46" i="15"/>
  <c r="H47" i="2" s="1"/>
  <c r="G11" i="15"/>
  <c r="H49" i="2" l="1"/>
  <c r="H43" i="2"/>
  <c r="G42" i="19" s="1"/>
  <c r="H40" i="2"/>
  <c r="G39" i="19" s="1"/>
  <c r="H12" i="2"/>
  <c r="H20" i="2"/>
  <c r="G25" i="19"/>
  <c r="G23" i="19"/>
  <c r="G24" i="19"/>
  <c r="G48" i="15"/>
  <c r="G44" i="15"/>
  <c r="G41" i="15"/>
  <c r="G26" i="15"/>
  <c r="G16" i="15"/>
  <c r="G10" i="19" l="1"/>
  <c r="G14" i="19"/>
  <c r="G13" i="19"/>
  <c r="G15" i="19"/>
  <c r="G11" i="19"/>
  <c r="G12" i="19"/>
  <c r="G46" i="19"/>
  <c r="G21" i="19"/>
  <c r="G20" i="19"/>
  <c r="G19" i="19"/>
  <c r="H17" i="2"/>
  <c r="G45" i="19"/>
  <c r="G22" i="19"/>
  <c r="K10" i="19" l="1"/>
  <c r="J10" i="19"/>
  <c r="H10" i="19"/>
  <c r="H45" i="2"/>
  <c r="H27" i="2"/>
  <c r="G47" i="19" l="1"/>
  <c r="H24" i="19"/>
  <c r="J24" i="19"/>
  <c r="K24" i="19"/>
  <c r="H13" i="19"/>
  <c r="K13" i="19"/>
  <c r="J13" i="19"/>
  <c r="H25" i="19"/>
  <c r="K25" i="19"/>
  <c r="J25" i="19"/>
  <c r="H12" i="19"/>
  <c r="K12" i="19"/>
  <c r="J12" i="19"/>
  <c r="H46" i="19"/>
  <c r="J46" i="19"/>
  <c r="K46" i="19"/>
  <c r="K42" i="19"/>
  <c r="J42" i="19"/>
  <c r="H11" i="19"/>
  <c r="J11" i="19"/>
  <c r="K11" i="19"/>
  <c r="H14" i="19"/>
  <c r="K14" i="19"/>
  <c r="J14" i="19"/>
  <c r="H23" i="19"/>
  <c r="K23" i="19"/>
  <c r="J23" i="19"/>
  <c r="K39" i="19"/>
  <c r="J39" i="19"/>
  <c r="H15" i="19"/>
  <c r="K15" i="19"/>
  <c r="J15" i="19"/>
  <c r="H39" i="19"/>
  <c r="G40" i="19"/>
  <c r="G43" i="19"/>
  <c r="H42" i="19"/>
  <c r="I47" i="19" l="1"/>
  <c r="J47" i="19" s="1"/>
  <c r="J16" i="19"/>
  <c r="H45" i="19"/>
  <c r="K45" i="19"/>
  <c r="J45" i="19"/>
  <c r="J48" i="19" s="1"/>
  <c r="K16" i="19"/>
  <c r="L10" i="19" s="1"/>
  <c r="H21" i="19"/>
  <c r="K21" i="19"/>
  <c r="J21" i="19"/>
  <c r="H19" i="19"/>
  <c r="K19" i="19"/>
  <c r="J19" i="19"/>
  <c r="H22" i="19"/>
  <c r="J22" i="19"/>
  <c r="K22" i="19"/>
  <c r="H43" i="19"/>
  <c r="J43" i="19"/>
  <c r="J44" i="19" s="1"/>
  <c r="K43" i="19"/>
  <c r="K44" i="19" s="1"/>
  <c r="H20" i="19"/>
  <c r="J20" i="19"/>
  <c r="K20" i="19"/>
  <c r="H40" i="19"/>
  <c r="J40" i="19"/>
  <c r="J41" i="19" s="1"/>
  <c r="K40" i="19"/>
  <c r="K41" i="19" s="1"/>
  <c r="K47" i="19" l="1"/>
  <c r="M10" i="19"/>
  <c r="L11" i="2" s="1"/>
  <c r="I6" i="8" s="1"/>
  <c r="J6" i="8" s="1"/>
  <c r="K6" i="8" s="1"/>
  <c r="L13" i="19"/>
  <c r="M13" i="19" s="1"/>
  <c r="L15" i="19"/>
  <c r="M15" i="19" s="1"/>
  <c r="J26" i="19"/>
  <c r="K26" i="19"/>
  <c r="L12" i="19"/>
  <c r="M12" i="19" s="1"/>
  <c r="L11" i="19"/>
  <c r="K48" i="19"/>
  <c r="L14" i="19"/>
  <c r="M14" i="19" s="1"/>
  <c r="M11" i="2" l="1"/>
  <c r="O11" i="2" s="1"/>
  <c r="L16" i="19"/>
  <c r="M11" i="19"/>
  <c r="L12" i="2" s="1"/>
  <c r="I7" i="8" l="1"/>
  <c r="I8" i="8" s="1"/>
  <c r="P11" i="2"/>
  <c r="L17" i="2"/>
  <c r="M16" i="19"/>
  <c r="F33" i="15"/>
  <c r="J7" i="8" l="1"/>
  <c r="K7" i="8" s="1"/>
  <c r="I9" i="8"/>
  <c r="J8" i="8"/>
  <c r="K8" i="8" s="1"/>
  <c r="G33" i="15"/>
  <c r="F36" i="15"/>
  <c r="F30" i="15"/>
  <c r="F29" i="15"/>
  <c r="F31" i="15"/>
  <c r="F35" i="15"/>
  <c r="F32" i="15"/>
  <c r="F37" i="15"/>
  <c r="F27" i="15"/>
  <c r="F28" i="15"/>
  <c r="F34" i="15"/>
  <c r="I10" i="8" l="1"/>
  <c r="J9" i="8"/>
  <c r="K9" i="8" s="1"/>
  <c r="F38" i="15"/>
  <c r="F49" i="15" s="1"/>
  <c r="F51" i="15" s="1"/>
  <c r="G27" i="15"/>
  <c r="G32" i="15"/>
  <c r="G28" i="15"/>
  <c r="H29" i="2" s="1"/>
  <c r="G35" i="15"/>
  <c r="G29" i="15"/>
  <c r="H30" i="2" s="1"/>
  <c r="G36" i="15"/>
  <c r="G37" i="15"/>
  <c r="H38" i="2" s="1"/>
  <c r="G31" i="15"/>
  <c r="G34" i="15"/>
  <c r="G30" i="15"/>
  <c r="H31" i="2" l="1"/>
  <c r="O31" i="2" s="1"/>
  <c r="P31" i="2" s="1"/>
  <c r="I11" i="8"/>
  <c r="J11" i="8" s="1"/>
  <c r="K11" i="8" s="1"/>
  <c r="J10" i="8"/>
  <c r="K10" i="8" s="1"/>
  <c r="H33" i="2"/>
  <c r="H28" i="2"/>
  <c r="G28" i="19"/>
  <c r="H42" i="2"/>
  <c r="G38" i="15"/>
  <c r="G49" i="15" s="1"/>
  <c r="G51" i="15" s="1"/>
  <c r="M12" i="2" l="1"/>
  <c r="O12" i="2" s="1"/>
  <c r="K12" i="8"/>
  <c r="G29" i="19"/>
  <c r="G30" i="19"/>
  <c r="G31" i="19"/>
  <c r="G32" i="19"/>
  <c r="K32" i="19" s="1"/>
  <c r="G37" i="19"/>
  <c r="G27" i="19"/>
  <c r="K27" i="19" s="1"/>
  <c r="G35" i="19"/>
  <c r="K35" i="19" s="1"/>
  <c r="J32" i="19" l="1"/>
  <c r="M17" i="2"/>
  <c r="O17" i="2"/>
  <c r="P12" i="2"/>
  <c r="P13" i="2" s="1"/>
  <c r="P14" i="2" s="1"/>
  <c r="P15" i="2" s="1"/>
  <c r="P16" i="2" s="1"/>
  <c r="G33" i="19"/>
  <c r="H33" i="19" s="1"/>
  <c r="H32" i="19"/>
  <c r="G34" i="19"/>
  <c r="H34" i="19" s="1"/>
  <c r="J27" i="19"/>
  <c r="J29" i="19"/>
  <c r="K29" i="19"/>
  <c r="H28" i="19"/>
  <c r="K28" i="19"/>
  <c r="J28" i="19"/>
  <c r="H27" i="19"/>
  <c r="H29" i="19"/>
  <c r="H39" i="2"/>
  <c r="J34" i="19" l="1"/>
  <c r="K33" i="19"/>
  <c r="J33" i="19"/>
  <c r="K34" i="19"/>
  <c r="G36" i="19"/>
  <c r="K36" i="19" s="1"/>
  <c r="H37" i="19"/>
  <c r="J37" i="19"/>
  <c r="K37" i="19"/>
  <c r="H31" i="19"/>
  <c r="J31" i="19"/>
  <c r="K31" i="19"/>
  <c r="H30" i="19"/>
  <c r="K30" i="19"/>
  <c r="J30" i="19"/>
  <c r="H35" i="19"/>
  <c r="J35" i="19"/>
  <c r="H50" i="2"/>
  <c r="H36" i="19" l="1"/>
  <c r="J36" i="19"/>
  <c r="J38" i="19" s="1"/>
  <c r="J49" i="19" s="1"/>
  <c r="J51" i="19" s="1"/>
  <c r="K38" i="19"/>
  <c r="K49" i="19" s="1"/>
  <c r="H52" i="2"/>
  <c r="L31" i="19" l="1"/>
  <c r="M31" i="19" s="1"/>
  <c r="L47" i="19"/>
  <c r="M47" i="19" s="1"/>
  <c r="L36" i="19"/>
  <c r="M36" i="19" s="1"/>
  <c r="L30" i="19"/>
  <c r="M30" i="19" s="1"/>
  <c r="L37" i="19"/>
  <c r="M37" i="19" s="1"/>
  <c r="L38" i="2" s="1"/>
  <c r="L35" i="19"/>
  <c r="M35" i="19" s="1"/>
  <c r="L46" i="19"/>
  <c r="M46" i="19" s="1"/>
  <c r="L47" i="2" s="1"/>
  <c r="L39" i="19"/>
  <c r="M39" i="19" s="1"/>
  <c r="L24" i="19"/>
  <c r="M24" i="19" s="1"/>
  <c r="L25" i="2" s="1"/>
  <c r="L25" i="19"/>
  <c r="M25" i="19" s="1"/>
  <c r="L26" i="2" s="1"/>
  <c r="L23" i="19"/>
  <c r="M23" i="19" s="1"/>
  <c r="L24" i="2" s="1"/>
  <c r="L42" i="19"/>
  <c r="M42" i="19" s="1"/>
  <c r="L20" i="19"/>
  <c r="M20" i="19" s="1"/>
  <c r="L40" i="19"/>
  <c r="M40" i="19" s="1"/>
  <c r="L22" i="19"/>
  <c r="M22" i="19" s="1"/>
  <c r="L23" i="2" s="1"/>
  <c r="L45" i="19"/>
  <c r="M45" i="19" s="1"/>
  <c r="L46" i="2" s="1"/>
  <c r="L19" i="19"/>
  <c r="M19" i="19" s="1"/>
  <c r="L43" i="19"/>
  <c r="M43" i="19" s="1"/>
  <c r="L21" i="19"/>
  <c r="M21" i="19" s="1"/>
  <c r="K51" i="19"/>
  <c r="L32" i="19"/>
  <c r="M32" i="19" s="1"/>
  <c r="L33" i="19"/>
  <c r="M33" i="19" s="1"/>
  <c r="L34" i="19"/>
  <c r="M34" i="19" s="1"/>
  <c r="L27" i="19"/>
  <c r="M27" i="19" s="1"/>
  <c r="L29" i="19"/>
  <c r="M29" i="19" s="1"/>
  <c r="L28" i="19"/>
  <c r="M28" i="19" s="1"/>
  <c r="L29" i="2" s="1"/>
  <c r="L33" i="2" l="1"/>
  <c r="I20" i="8"/>
  <c r="J20" i="8" s="1"/>
  <c r="K20" i="8" s="1"/>
  <c r="I41" i="8"/>
  <c r="J41" i="8" s="1"/>
  <c r="K41" i="8" s="1"/>
  <c r="I18" i="8"/>
  <c r="J18" i="8" s="1"/>
  <c r="K18" i="8" s="1"/>
  <c r="I19" i="8"/>
  <c r="J19" i="8" s="1"/>
  <c r="K19" i="8" s="1"/>
  <c r="I42" i="8"/>
  <c r="J42" i="8" s="1"/>
  <c r="K42" i="8" s="1"/>
  <c r="I33" i="8"/>
  <c r="J33" i="8" s="1"/>
  <c r="K33" i="8" s="1"/>
  <c r="I24" i="8"/>
  <c r="J24" i="8" s="1"/>
  <c r="K24" i="8" s="1"/>
  <c r="I21" i="8"/>
  <c r="J21" i="8" s="1"/>
  <c r="K21" i="8" s="1"/>
  <c r="L30" i="2"/>
  <c r="L20" i="2"/>
  <c r="L49" i="2"/>
  <c r="L43" i="2"/>
  <c r="L40" i="2"/>
  <c r="L28" i="2"/>
  <c r="L48" i="19"/>
  <c r="M48" i="19"/>
  <c r="L41" i="19"/>
  <c r="M41" i="19"/>
  <c r="M44" i="19"/>
  <c r="L44" i="19"/>
  <c r="L26" i="19"/>
  <c r="M38" i="19"/>
  <c r="L38" i="19"/>
  <c r="M29" i="2" l="1"/>
  <c r="O29" i="2" s="1"/>
  <c r="P29" i="2" s="1"/>
  <c r="M23" i="2"/>
  <c r="O23" i="2" s="1"/>
  <c r="P23" i="2" s="1"/>
  <c r="M46" i="2"/>
  <c r="O46" i="2" s="1"/>
  <c r="M47" i="2"/>
  <c r="O47" i="2" s="1"/>
  <c r="P47" i="2" s="1"/>
  <c r="M25" i="2"/>
  <c r="O25" i="2" s="1"/>
  <c r="P25" i="2" s="1"/>
  <c r="I23" i="10" s="1"/>
  <c r="K23" i="10" s="1"/>
  <c r="M26" i="2"/>
  <c r="O26" i="2" s="1"/>
  <c r="P26" i="2" s="1"/>
  <c r="M24" i="2"/>
  <c r="O24" i="2" s="1"/>
  <c r="P24" i="2" s="1"/>
  <c r="I15" i="8"/>
  <c r="I17" i="8" s="1"/>
  <c r="J17" i="8" s="1"/>
  <c r="K17" i="8" s="1"/>
  <c r="I28" i="8"/>
  <c r="I35" i="8"/>
  <c r="I36" i="8" s="1"/>
  <c r="J36" i="8" s="1"/>
  <c r="K36" i="8" s="1"/>
  <c r="I38" i="8"/>
  <c r="I39" i="8" s="1"/>
  <c r="J39" i="8" s="1"/>
  <c r="K39" i="8" s="1"/>
  <c r="I23" i="8"/>
  <c r="M38" i="2"/>
  <c r="I25" i="8"/>
  <c r="L45" i="2"/>
  <c r="L42" i="2"/>
  <c r="L27" i="2"/>
  <c r="L39" i="2"/>
  <c r="M26" i="19"/>
  <c r="M49" i="19" s="1"/>
  <c r="L49" i="19"/>
  <c r="O49" i="2" l="1"/>
  <c r="I22" i="10"/>
  <c r="K22" i="10" s="1"/>
  <c r="J15" i="8"/>
  <c r="K15" i="8" s="1"/>
  <c r="M49" i="2"/>
  <c r="J35" i="8"/>
  <c r="K35" i="8" s="1"/>
  <c r="I45" i="10"/>
  <c r="K45" i="10" s="1"/>
  <c r="J38" i="8"/>
  <c r="K38" i="8" s="1"/>
  <c r="I21" i="10"/>
  <c r="K21" i="10" s="1"/>
  <c r="I16" i="8"/>
  <c r="J16" i="8" s="1"/>
  <c r="K16" i="8" s="1"/>
  <c r="I24" i="10"/>
  <c r="K24" i="10" s="1"/>
  <c r="I27" i="10"/>
  <c r="K27" i="10" s="1"/>
  <c r="I30" i="8"/>
  <c r="J30" i="8" s="1"/>
  <c r="K30" i="8" s="1"/>
  <c r="J28" i="8"/>
  <c r="K28" i="8" s="1"/>
  <c r="I32" i="8"/>
  <c r="J32" i="8" s="1"/>
  <c r="K32" i="8" s="1"/>
  <c r="O38" i="2"/>
  <c r="P38" i="2" s="1"/>
  <c r="I36" i="10" s="1"/>
  <c r="K36" i="10" s="1"/>
  <c r="I29" i="8"/>
  <c r="J29" i="8" s="1"/>
  <c r="K29" i="8" s="1"/>
  <c r="I27" i="8"/>
  <c r="J27" i="8" s="1"/>
  <c r="K27" i="8" s="1"/>
  <c r="I26" i="8"/>
  <c r="J26" i="8" s="1"/>
  <c r="K26" i="8" s="1"/>
  <c r="J25" i="8"/>
  <c r="K25" i="8" s="1"/>
  <c r="P46" i="2"/>
  <c r="P49" i="2" s="1"/>
  <c r="I31" i="8"/>
  <c r="J31" i="8" s="1"/>
  <c r="K31" i="8" s="1"/>
  <c r="J23" i="8"/>
  <c r="K23" i="8" s="1"/>
  <c r="L50" i="2"/>
  <c r="L52" i="2" s="1"/>
  <c r="M51" i="19"/>
  <c r="I11" i="10"/>
  <c r="K11" i="10" s="1"/>
  <c r="I13" i="10"/>
  <c r="K13" i="10" s="1"/>
  <c r="P17" i="2"/>
  <c r="I14" i="10"/>
  <c r="M40" i="2" l="1"/>
  <c r="O40" i="2" s="1"/>
  <c r="K22" i="8"/>
  <c r="M20" i="2"/>
  <c r="O20" i="2" s="1"/>
  <c r="M28" i="2"/>
  <c r="O28" i="2" s="1"/>
  <c r="P28" i="2" s="1"/>
  <c r="M43" i="2"/>
  <c r="O43" i="2" s="1"/>
  <c r="M33" i="2"/>
  <c r="M30" i="2"/>
  <c r="O30" i="2" s="1"/>
  <c r="P30" i="2" s="1"/>
  <c r="I47" i="10"/>
  <c r="K47" i="10" s="1"/>
  <c r="I44" i="10"/>
  <c r="K44" i="10" s="1"/>
  <c r="K34" i="8"/>
  <c r="I12" i="10"/>
  <c r="I10" i="10"/>
  <c r="K14" i="10"/>
  <c r="M42" i="2" l="1"/>
  <c r="M45" i="2"/>
  <c r="M27" i="2"/>
  <c r="O33" i="2"/>
  <c r="P33" i="2" s="1"/>
  <c r="O42" i="2"/>
  <c r="P40" i="2"/>
  <c r="P20" i="2"/>
  <c r="O27" i="2"/>
  <c r="K37" i="8"/>
  <c r="M39" i="2"/>
  <c r="O45" i="2"/>
  <c r="P43" i="2"/>
  <c r="K12" i="10"/>
  <c r="K10" i="10"/>
  <c r="I9" i="10"/>
  <c r="I28" i="10" l="1"/>
  <c r="K28" i="10" s="1"/>
  <c r="P32" i="2"/>
  <c r="P35" i="2"/>
  <c r="P37" i="2"/>
  <c r="P34" i="2"/>
  <c r="I31" i="10"/>
  <c r="K31" i="10" s="1"/>
  <c r="K40" i="8"/>
  <c r="K44" i="8" s="1"/>
  <c r="P44" i="2"/>
  <c r="P45" i="2" s="1"/>
  <c r="I43" i="10" s="1"/>
  <c r="K43" i="10" s="1"/>
  <c r="I41" i="10"/>
  <c r="K41" i="10" s="1"/>
  <c r="O39" i="2"/>
  <c r="O50" i="2" s="1"/>
  <c r="O52" i="2" s="1"/>
  <c r="P22" i="2"/>
  <c r="P21" i="2"/>
  <c r="I18" i="10"/>
  <c r="K18" i="10" s="1"/>
  <c r="M50" i="2"/>
  <c r="M52" i="2" s="1"/>
  <c r="P41" i="2"/>
  <c r="P42" i="2" s="1"/>
  <c r="I40" i="10" s="1"/>
  <c r="K40" i="10" s="1"/>
  <c r="I38" i="10"/>
  <c r="K38" i="10" s="1"/>
  <c r="K9" i="10"/>
  <c r="I15" i="10"/>
  <c r="I33" i="10" l="1"/>
  <c r="K33" i="10" s="1"/>
  <c r="I29" i="10"/>
  <c r="K29" i="10" s="1"/>
  <c r="I32" i="10"/>
  <c r="K32" i="10" s="1"/>
  <c r="I35" i="10"/>
  <c r="K35" i="10" s="1"/>
  <c r="I30" i="10"/>
  <c r="K30" i="10" s="1"/>
  <c r="K45" i="8"/>
  <c r="K47" i="8" s="1"/>
  <c r="C35" i="7" s="1"/>
  <c r="C56" i="7" s="1"/>
  <c r="C58" i="7" s="1"/>
  <c r="I19" i="10"/>
  <c r="K19" i="10" s="1"/>
  <c r="I39" i="10"/>
  <c r="K39" i="10" s="1"/>
  <c r="P27" i="2"/>
  <c r="I25" i="10" s="1"/>
  <c r="K25" i="10" s="1"/>
  <c r="I20" i="10"/>
  <c r="K20" i="10" s="1"/>
  <c r="P36" i="2"/>
  <c r="P39" i="2" s="1"/>
  <c r="I26" i="10"/>
  <c r="K26" i="10" s="1"/>
  <c r="I42" i="10"/>
  <c r="K42" i="10" s="1"/>
  <c r="K15" i="10"/>
  <c r="I34" i="10" l="1"/>
  <c r="K34" i="10" s="1"/>
  <c r="P50" i="2"/>
  <c r="I37" i="10"/>
  <c r="K37" i="10" s="1"/>
  <c r="P52" i="2" l="1"/>
  <c r="I50" i="10" s="1"/>
  <c r="K50" i="10" s="1"/>
  <c r="I48" i="10"/>
  <c r="K48"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47" authorId="0" shapeId="0" xr:uid="{00000000-0006-0000-0200-000002000000}">
      <text>
        <r>
          <rPr>
            <b/>
            <sz val="9"/>
            <color indexed="81"/>
            <rFont val="Tahoma"/>
            <family val="2"/>
          </rPr>
          <t>Auteur:</t>
        </r>
        <r>
          <rPr>
            <sz val="9"/>
            <color indexed="81"/>
            <rFont val="Tahoma"/>
            <family val="2"/>
          </rPr>
          <t xml:space="preserve">
Est-ce qu'on laisse 2018 (car c'est la dernière ACA officielle) ou si on met 2019 ?</t>
        </r>
      </text>
    </comment>
    <comment ref="B48" authorId="0" shapeId="0" xr:uid="{00000000-0006-0000-0200-000003000000}">
      <text>
        <r>
          <rPr>
            <b/>
            <sz val="9"/>
            <color indexed="81"/>
            <rFont val="Tahoma"/>
            <family val="2"/>
          </rPr>
          <t>Auteur:</t>
        </r>
        <r>
          <rPr>
            <sz val="9"/>
            <color indexed="81"/>
            <rFont val="Tahoma"/>
            <family val="2"/>
          </rPr>
          <t xml:space="preserve">
Il manque une note de bas de page pour le "petit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9" authorId="0" shapeId="0" xr:uid="{00000000-0006-0000-0C00-000001000000}">
      <text>
        <r>
          <rPr>
            <b/>
            <sz val="9"/>
            <color indexed="81"/>
            <rFont val="Tahoma"/>
            <family val="2"/>
          </rPr>
          <t>Auteur:</t>
        </r>
        <r>
          <rPr>
            <sz val="9"/>
            <color indexed="81"/>
            <rFont val="Tahoma"/>
            <family val="2"/>
          </rPr>
          <t xml:space="preserve">
Changé "Tarif 2015" pour "Tarif 2020"</t>
        </r>
      </text>
    </comment>
  </commentList>
</comments>
</file>

<file path=xl/sharedStrings.xml><?xml version="1.0" encoding="utf-8"?>
<sst xmlns="http://schemas.openxmlformats.org/spreadsheetml/2006/main" count="628" uniqueCount="301">
  <si>
    <t>Paramètres</t>
  </si>
  <si>
    <t>Imprimés</t>
  </si>
  <si>
    <t>% de provision pour mauvaises créances</t>
  </si>
  <si>
    <t>Répartition des coûts nets par catégorie</t>
  </si>
  <si>
    <t>Contenants et emballages</t>
  </si>
  <si>
    <t>Magazines</t>
  </si>
  <si>
    <t>Crédit contenu recyclé</t>
  </si>
  <si>
    <t>Encarts et circulaires imprimés sur du papier journal</t>
  </si>
  <si>
    <t>Catalogues et publications</t>
  </si>
  <si>
    <t>Annuaires téléphoniques</t>
  </si>
  <si>
    <t>Autres imprimés</t>
  </si>
  <si>
    <t>Papier à usage général</t>
  </si>
  <si>
    <t>Carton ondulé</t>
  </si>
  <si>
    <t>Carton plat et autres emballages de papier</t>
  </si>
  <si>
    <t>Contenants à pignon</t>
  </si>
  <si>
    <t>Laminés de papier</t>
  </si>
  <si>
    <t>Contenants aseptiques</t>
  </si>
  <si>
    <t>Verre</t>
  </si>
  <si>
    <t>Verre clair</t>
  </si>
  <si>
    <t>Verre coloré</t>
  </si>
  <si>
    <t>Autres contenants en acier</t>
  </si>
  <si>
    <t>Autres contenants et emballages en aluminium</t>
  </si>
  <si>
    <t>Plastique</t>
  </si>
  <si>
    <t>Plastiques stratifiés</t>
  </si>
  <si>
    <t>Bouteilles PET</t>
  </si>
  <si>
    <t>Pellicules HDPE et LDPE</t>
  </si>
  <si>
    <t>Polystyrène non expansé</t>
  </si>
  <si>
    <t>IMPRIMÉS</t>
  </si>
  <si>
    <t>CONTENANTS ET EMBALLAGES</t>
  </si>
  <si>
    <t>IMPRIMÉS TOTAL</t>
  </si>
  <si>
    <t>Verre TOTAL</t>
  </si>
  <si>
    <t>Plastique TOTAL</t>
  </si>
  <si>
    <t>CONTENANTS ET EMBALLAGES TOTAL</t>
  </si>
  <si>
    <t>TOTAL</t>
  </si>
  <si>
    <t>Matières</t>
  </si>
  <si>
    <t>Papier/carton</t>
  </si>
  <si>
    <t>Acier</t>
  </si>
  <si>
    <t>Aluminium</t>
  </si>
  <si>
    <t>Total</t>
  </si>
  <si>
    <t>Tous</t>
  </si>
  <si>
    <t>Provision pour mauvaises créances</t>
  </si>
  <si>
    <t>Catégorie</t>
  </si>
  <si>
    <t>Total (assumé par ÉEQ)</t>
  </si>
  <si>
    <t>Frais de gestion imputés</t>
  </si>
  <si>
    <t>POIDS DES FACTEURS</t>
  </si>
  <si>
    <t>Objectif de récupération (Facteur 3)</t>
  </si>
  <si>
    <t>Application du crédit</t>
  </si>
  <si>
    <t>Oui</t>
  </si>
  <si>
    <t>Non</t>
  </si>
  <si>
    <t>Anticipé</t>
  </si>
  <si>
    <t>Utilisé pour calcul</t>
  </si>
  <si>
    <t>Scénario</t>
  </si>
  <si>
    <t>Tarif</t>
  </si>
  <si>
    <t>Année de référence</t>
  </si>
  <si>
    <t>Facteurs</t>
  </si>
  <si>
    <t>Aluminium TOTAL</t>
  </si>
  <si>
    <t>Facteur 1</t>
  </si>
  <si>
    <t>Facteur 2</t>
  </si>
  <si>
    <t>Facteur 3</t>
  </si>
  <si>
    <t>Sommaire exécutif</t>
  </si>
  <si>
    <t>Coûts nets estimés</t>
  </si>
  <si>
    <t>Part assumée par l'industrie</t>
  </si>
  <si>
    <t>Part assumée par ÉEQ</t>
  </si>
  <si>
    <t>Frais d'administration - ÉEQ</t>
  </si>
  <si>
    <t>Fonds de risque</t>
  </si>
  <si>
    <t>Provision et Fonds de risque</t>
  </si>
  <si>
    <t>POIDS DU FACTEUR 1 :</t>
  </si>
  <si>
    <t>Coûts nets</t>
  </si>
  <si>
    <t>POIDS DU FACTEUR 2 :</t>
  </si>
  <si>
    <t>POIDS DU FACTEUR 3 :</t>
  </si>
  <si>
    <t>Allocation des coûts du facteur par catégorie</t>
  </si>
  <si>
    <t>Proportion par catégorie
(%)</t>
  </si>
  <si>
    <t>Coûts nets &amp; part de l'industrie</t>
  </si>
  <si>
    <t>Total Coûts nets</t>
  </si>
  <si>
    <t>Coûts nets assumés par l'industrie</t>
  </si>
  <si>
    <t>Coûts nets assumés par ÉEQ</t>
  </si>
  <si>
    <t>Coûts nets et frais de gestion</t>
  </si>
  <si>
    <t>Provision et fonds de risque</t>
  </si>
  <si>
    <t xml:space="preserve">Tarif </t>
  </si>
  <si>
    <t>Comparaison année précédente</t>
  </si>
  <si>
    <t>Total Facteur 1
($)</t>
  </si>
  <si>
    <t>Total Facteur 2
($)</t>
  </si>
  <si>
    <t>Total Facteur 3
($)</t>
  </si>
  <si>
    <t>Coût total
($)</t>
  </si>
  <si>
    <t>Coût Facteur 2
($)</t>
  </si>
  <si>
    <t xml:space="preserve">Objectif de récupération
(tonnes) </t>
  </si>
  <si>
    <t>Tonnage manquant
(tonnes)</t>
  </si>
  <si>
    <t>Coûts nets pour atteindre l'objectif
($)</t>
  </si>
  <si>
    <t>Coût Facteur 3
($)</t>
  </si>
  <si>
    <t>Frais d'études spécifiques
($)</t>
  </si>
  <si>
    <t>Proportion des 
coûts nets
(%)</t>
  </si>
  <si>
    <t>Coûts nets
($)</t>
  </si>
  <si>
    <t>Coûts nets totaux (incluant provision et fonds de risque)
($)</t>
  </si>
  <si>
    <t>Coûts nets totaux (incluant provision, FDR, Frais RQ et Fonds de risque)
($)</t>
  </si>
  <si>
    <t>Montant actuel du Fonds de risque</t>
  </si>
  <si>
    <t>Fonds de risque cible (% des coûts nets)</t>
  </si>
  <si>
    <t>Variables clés</t>
  </si>
  <si>
    <t>Année de Tarif et scénario</t>
  </si>
  <si>
    <t>Tonnage se prévalant du crédit (%)</t>
  </si>
  <si>
    <t>Crédit accordé pour contenu recyclé (%)</t>
  </si>
  <si>
    <t>Poids du facteur 3 "Équilibreur"</t>
  </si>
  <si>
    <t>Poids du facteur 1 "Taux de récupération par matière"</t>
  </si>
  <si>
    <t>Poids du facteur 2 "Coût net par matière"</t>
  </si>
  <si>
    <t>Part assumée par l'industrie (%)</t>
  </si>
  <si>
    <t>Montant forfaitaire - Municipalités (%)</t>
  </si>
  <si>
    <t>Indemnité - RECYC-QUÉBEC (%)</t>
  </si>
  <si>
    <t>Frais d'études et projets - ÉEQ</t>
  </si>
  <si>
    <t>Catégories et 
Sous-catégories</t>
  </si>
  <si>
    <t>Emballages de papier kraft</t>
  </si>
  <si>
    <t>Indemnité RQ_
Frais de gestion
($)</t>
  </si>
  <si>
    <t>Total Indemnité RQ_
Frais de gestion 
($)</t>
  </si>
  <si>
    <t>Indemnité RECYC-QUÉBEC et frais de gestion</t>
  </si>
  <si>
    <t>Coûts nets/tonne
($/tonne)</t>
  </si>
  <si>
    <t>Tonnage se prévalant du crédit</t>
  </si>
  <si>
    <t>Calcul du crédit pour contenu recyclé</t>
  </si>
  <si>
    <t>Montant forfaitaire - Municipalités</t>
  </si>
  <si>
    <t>Indemnité RECYC-QUÉBEC assumée par ÉEQ</t>
  </si>
  <si>
    <t>Indemnité RECYC-QUÉBEC</t>
  </si>
  <si>
    <t>Part assumée par ÉEQ (%)</t>
  </si>
  <si>
    <t>Total Indemnité RECYC-QUÉBEC assumée par ÉEQ</t>
  </si>
  <si>
    <t>Coûts répartis selon la formule à 3 facteurs par catégorie</t>
  </si>
  <si>
    <t>Sacs de papier kraft</t>
  </si>
  <si>
    <t>Contenants de PET</t>
  </si>
  <si>
    <t>Matière</t>
  </si>
  <si>
    <t>Sous-catégorie</t>
  </si>
  <si>
    <t>Nombre déclarations</t>
  </si>
  <si>
    <t>Quantité déclarée (tonnes)</t>
  </si>
  <si>
    <t>Quantité générée (tonnes)</t>
  </si>
  <si>
    <t>Quantité récupérée (tonnes)</t>
  </si>
  <si>
    <t>% récupération</t>
  </si>
  <si>
    <t>Coût net ACA</t>
  </si>
  <si>
    <t>Coût brut</t>
  </si>
  <si>
    <t>Revenu brut</t>
  </si>
  <si>
    <t>Frais d'étude</t>
  </si>
  <si>
    <r>
      <t>Nombre de déclarations</t>
    </r>
    <r>
      <rPr>
        <b/>
        <vertAlign val="superscript"/>
        <sz val="11"/>
        <color theme="1"/>
        <rFont val="Arial"/>
        <family val="2"/>
      </rPr>
      <t>1</t>
    </r>
  </si>
  <si>
    <t>Quantité totale 
(kg)</t>
  </si>
  <si>
    <r>
      <rPr>
        <vertAlign val="superscript"/>
        <sz val="11"/>
        <color theme="1"/>
        <rFont val="Arial"/>
        <family val="2"/>
      </rPr>
      <t>1</t>
    </r>
    <r>
      <rPr>
        <sz val="11"/>
        <color theme="1"/>
        <rFont val="Arial"/>
        <family val="2"/>
      </rPr>
      <t xml:space="preserve"> Le nombre de déclarations représente le nombre d'entreprises ayant déclaré une matière donnée. Une entreprise peut déclarer plus d'une matière, c'est pourquoi le nombre de déclarations est supérieur au nombre d'entreprises contributrices. </t>
    </r>
  </si>
  <si>
    <t>Compensation maximale RecycleMédias</t>
  </si>
  <si>
    <t>Article 8.14 Règlement 2013  (http://www2.publicationsduquebec.gouv.qc.ca/dynamicSearch/telecharge.php?type=2&amp;file=//Q_2/Q2R10.htm)</t>
  </si>
  <si>
    <t>Article 8.9   Règlement 2013  (http://www2.publicationsduquebec.gouv.qc.ca/dynamicSearch/telecharge.php?type=2&amp;file=//Q_2/Q2R10.htm)</t>
  </si>
  <si>
    <t>Article 8.5   Règlement 2013  (http://www2.publicationsduquebec.gouv.qc.ca/dynamicSearch/telecharge.php?type=2&amp;file=//Q_2/Q2R10.htm)</t>
  </si>
  <si>
    <t>Article 8.8   Règlement 2013  (http://www2.publicationsduquebec.gouv.qc.ca/dynamicSearch/telecharge.php?type=2&amp;file=//Q_2/Q2R10.htm)</t>
  </si>
  <si>
    <t>C'est ici que sont consolidés les résultats qui sont utilisés dans les feuilles de calcul: Facteur_1, Facteur_2, Facteur_3, Frais de gestion, Tarif, Crédit contenu recyclé, Sommaire exécutif</t>
  </si>
  <si>
    <t>Calcul défini à l'article 8.14 Règlement 2013  (http://www2.publicationsduquebec.gouv.qc.ca/dynamicSearch/telecharge.php?type=2&amp;file=//Q_2/Q2R10.htm)</t>
  </si>
  <si>
    <t>Retraits fonds de risque</t>
  </si>
  <si>
    <t>Conjoint</t>
  </si>
  <si>
    <r>
      <t>Matière</t>
    </r>
    <r>
      <rPr>
        <b/>
        <vertAlign val="superscript"/>
        <sz val="11"/>
        <color theme="1"/>
        <rFont val="Arial"/>
        <family val="2"/>
      </rPr>
      <t>1</t>
    </r>
  </si>
  <si>
    <t>Indemnité RQ et Frais de gestion</t>
  </si>
  <si>
    <t>Fonds de risque à renflouer</t>
  </si>
  <si>
    <t>Proportion relative des catégories
(%)</t>
  </si>
  <si>
    <t>Retrait fonds de risque
($)</t>
  </si>
  <si>
    <t>% variation</t>
  </si>
  <si>
    <t>Polystyrène expansé alimentaire</t>
  </si>
  <si>
    <t>Polystyrène expansé de protection</t>
  </si>
  <si>
    <t>Acier TOTAL</t>
  </si>
  <si>
    <t>Ordre</t>
  </si>
  <si>
    <t>Quantité éliminée (t)</t>
  </si>
  <si>
    <t>Quantité attendue net (kg)</t>
  </si>
  <si>
    <t>Frais d'opération ÉEQ</t>
  </si>
  <si>
    <t>Total Frais d'opération ÉEQ</t>
  </si>
  <si>
    <t>Donnée réelle transmise par R-Q</t>
  </si>
  <si>
    <t>Quantités de matières anticipées</t>
  </si>
  <si>
    <t>Taux récupération</t>
  </si>
  <si>
    <t>Déclaration manquante</t>
  </si>
  <si>
    <t>Pénalité</t>
  </si>
  <si>
    <t>Anticipation Tarif fixe</t>
  </si>
  <si>
    <t xml:space="preserve">Quantité générée
(tonnes) </t>
  </si>
  <si>
    <t xml:space="preserve">Quantité récupérée
(tonnes) </t>
  </si>
  <si>
    <t xml:space="preserve">Quantité éliminée
(tonnes) </t>
  </si>
  <si>
    <t>Quantité déclarée
(tonnes)</t>
  </si>
  <si>
    <t>Nombre de déclarations</t>
  </si>
  <si>
    <t>TARIFICATION</t>
  </si>
  <si>
    <t>Quantités</t>
  </si>
  <si>
    <t>Total Indemnité RQ &amp; Frais de gestion 
($)</t>
  </si>
  <si>
    <t>Quantité déclarée 
(tonnes)</t>
  </si>
  <si>
    <t>Taux de récupération
(%)</t>
  </si>
  <si>
    <t>Coût net / tonne
(ACA)
($/tonne)</t>
  </si>
  <si>
    <t>Coûts nets à compenser</t>
  </si>
  <si>
    <t>Coût brut ($/t)</t>
  </si>
  <si>
    <t>Revenu brut ($/t)</t>
  </si>
  <si>
    <t>Frais d'études spécifiques ($)</t>
  </si>
  <si>
    <t>Coût brut
(ACA)
($/tonne)</t>
  </si>
  <si>
    <t>Coût net
($/tonne)</t>
  </si>
  <si>
    <t>Revenu brut
(ACA)
($/tonne)</t>
  </si>
  <si>
    <t>Coût net total
($)</t>
  </si>
  <si>
    <t>Bombes aérosol en acier</t>
  </si>
  <si>
    <t>Contenants pour aliments et breuvages en aluminium</t>
  </si>
  <si>
    <t>Sacs d'emplettes de pellicules HDPE et LDPE</t>
  </si>
  <si>
    <t>Acide polylactique (PLA) et autres plastiques dégradables</t>
  </si>
  <si>
    <t>* inclut avec les polystyrènes</t>
  </si>
  <si>
    <t>* inclut avec les Bouteilles PET</t>
  </si>
  <si>
    <t>CATÉGORIE</t>
  </si>
  <si>
    <t>Papier et carton</t>
  </si>
  <si>
    <t>Papier et carton TOTAL</t>
  </si>
  <si>
    <t>Fonds de risque et de stabilisation des taux</t>
  </si>
  <si>
    <t>Taux avant crédit</t>
  </si>
  <si>
    <t>Taux après crédit</t>
  </si>
  <si>
    <t>Provision pour crédit</t>
  </si>
  <si>
    <t>Quantité déclarée précédente</t>
  </si>
  <si>
    <t>Taux précédent</t>
  </si>
  <si>
    <t>Variation</t>
  </si>
  <si>
    <t>Limitation de la hausse des taux</t>
  </si>
  <si>
    <t>Ajustement limitation des hausses de taux ($)</t>
  </si>
  <si>
    <t xml:space="preserve">Limitation des hausses de taux à </t>
  </si>
  <si>
    <t>Taux maximal</t>
  </si>
  <si>
    <t>$ au-dessus de la limite</t>
  </si>
  <si>
    <t>Quantité déclarée</t>
  </si>
  <si>
    <t>$ sous la limite</t>
  </si>
  <si>
    <t>% sous la limite</t>
  </si>
  <si>
    <t>$ redistribué</t>
  </si>
  <si>
    <t>Provision crédit contenu recyclé</t>
  </si>
  <si>
    <r>
      <t>Réel</t>
    </r>
    <r>
      <rPr>
        <b/>
        <vertAlign val="superscript"/>
        <sz val="11"/>
        <color theme="1"/>
        <rFont val="Arial"/>
        <family val="2"/>
      </rPr>
      <t>1</t>
    </r>
  </si>
  <si>
    <t>Coût</t>
  </si>
  <si>
    <t>Taux</t>
  </si>
  <si>
    <t>Coût Facteur
($)</t>
  </si>
  <si>
    <t xml:space="preserve"> Facteur 2</t>
  </si>
  <si>
    <t>Projet de Tarif</t>
  </si>
  <si>
    <t>Taux 2020
($/tonne)</t>
  </si>
  <si>
    <t>https://www.eeq.ca/actualite/documents-et-publications/tarifs/</t>
  </si>
  <si>
    <t xml:space="preserve">Projet de tarif </t>
  </si>
  <si>
    <t>Déduction des matières autres</t>
  </si>
  <si>
    <t>Déduction P&amp;E</t>
  </si>
  <si>
    <t>Plancher des 400km</t>
  </si>
  <si>
    <t>Part assumée par ÉÉQ</t>
  </si>
  <si>
    <t>ACA Québécoise 2018</t>
  </si>
  <si>
    <t>Caractérisation des matières résiduelles du secteur résidentiel 2015-2017</t>
  </si>
  <si>
    <t>Plancher munnicipalité 400km</t>
  </si>
  <si>
    <t>Provision pour le crédit contenu recyclé</t>
  </si>
  <si>
    <t>Frais des études spécifiques</t>
  </si>
  <si>
    <r>
      <rPr>
        <b/>
        <vertAlign val="superscript"/>
        <sz val="11"/>
        <color theme="1"/>
        <rFont val="Arial"/>
        <family val="2"/>
      </rPr>
      <t>1</t>
    </r>
    <r>
      <rPr>
        <sz val="11"/>
        <color theme="1"/>
        <rFont val="Arial"/>
        <family val="2"/>
      </rPr>
      <t xml:space="preserve"> Un crédit sera également accordé à certains contenants et emballages de papier et carton et de plastique. Cependant, pour le Tarif 2020, le crédit n'est pas considéré dans le calcul du Tarif puisqu'il proviendra d'un fonds indépendant.</t>
    </r>
  </si>
  <si>
    <t>Déclaration Tarif 2020</t>
  </si>
  <si>
    <t>Autres plastiques, polymères et polyuréthane</t>
  </si>
  <si>
    <t>Coûts nets après déduction des matières autres</t>
  </si>
  <si>
    <t>% Provision pour mauvaises créances</t>
  </si>
  <si>
    <t>Provision pour Crédit Contenu Recyclé</t>
  </si>
  <si>
    <t>Frais d'études spécifiques</t>
  </si>
  <si>
    <t>Contributions totales à percevoir</t>
  </si>
  <si>
    <t>Taux 2021
($/tonne)</t>
  </si>
  <si>
    <t>Bouteilles, tous formats, et contenants &lt; 5l. HDPE</t>
  </si>
  <si>
    <t>Céramique</t>
  </si>
  <si>
    <t>Intrant</t>
  </si>
  <si>
    <t>Onglet</t>
  </si>
  <si>
    <t>Colonne</t>
  </si>
  <si>
    <t>Validé</t>
  </si>
  <si>
    <t>Définition</t>
  </si>
  <si>
    <t>Sources</t>
  </si>
  <si>
    <t>Quantités attendues</t>
  </si>
  <si>
    <t>Déclaration</t>
  </si>
  <si>
    <t>Estimation des quantités qui seront mises en marchés par les entreprises durant la période de référence</t>
  </si>
  <si>
    <t>Coûts ACA</t>
  </si>
  <si>
    <t>Coût net par matière venant de l'ACA utilisée</t>
  </si>
  <si>
    <t>Répartition J vs I vs CE</t>
  </si>
  <si>
    <t>La répartition des catégories (journaux, imprimés, CE) venant de l'ACA utilisée</t>
  </si>
  <si>
    <t>Taux de récupération</t>
  </si>
  <si>
    <t>Caractérisation</t>
  </si>
  <si>
    <t>Taux de récupération par matière provenant de la caractérisation résidentielle utilisée pour le Tarif en cour</t>
  </si>
  <si>
    <t xml:space="preserve">Nombre de déclarations </t>
  </si>
  <si>
    <t>Estimation du nombre de déclaration par matière associée aux quantités déclarées</t>
  </si>
  <si>
    <t>Coûts nets municipaux</t>
  </si>
  <si>
    <t>Estimation des coûts net municipaux (total des coûts admissibles à compensation) pour l'année de référence</t>
  </si>
  <si>
    <t>Autres coûts</t>
  </si>
  <si>
    <t>Ensembles des coûts d'administrations de ÉEQ</t>
  </si>
  <si>
    <t>Utilisation des Fonds</t>
  </si>
  <si>
    <t>Montant utilisé (débit ou crédit) des fonds de risque, imprimés ou contenant et emballage</t>
  </si>
  <si>
    <t>Tarif fixe attendu</t>
  </si>
  <si>
    <t>Estimation des contributions provenant des Tarifs fixes</t>
  </si>
  <si>
    <t>Pourcentage des CNM qui doit être provisionné</t>
  </si>
  <si>
    <t>Crédit Contenu recyclé</t>
  </si>
  <si>
    <t>Estimation du pourcentage des quantités attendues qui receveront une crédit pour contenu recyclé</t>
  </si>
  <si>
    <t>Amalgames</t>
  </si>
  <si>
    <t>tblCoutCompensation: Frais l'administration; Frais p'étupar</t>
  </si>
  <si>
    <t>Choisi par l'administration</t>
  </si>
  <si>
    <t>Montants pour projet</t>
  </si>
  <si>
    <t>Montant pour projet spéciaux qui est réparti entre les matières</t>
  </si>
  <si>
    <t>Taux historiques</t>
  </si>
  <si>
    <t>Taux des matières du Tarif précédent. Sert à des fins de comparaisons.</t>
  </si>
  <si>
    <t>Compensation Recyc-Média</t>
  </si>
  <si>
    <t>Montant des coûts nets municipaux qui doivent être compensés par Recycle média</t>
  </si>
  <si>
    <t>Indemnité Recyc-QC</t>
  </si>
  <si>
    <t>Pourcentage des CNM qui doit être payé en surplus à Recyc-Québec</t>
  </si>
  <si>
    <t>Commentaires</t>
  </si>
  <si>
    <t>Vérifié par</t>
  </si>
  <si>
    <t>Réponse</t>
  </si>
  <si>
    <t>Cédric</t>
  </si>
  <si>
    <t>Les chiffres sont bons.</t>
  </si>
  <si>
    <t>R:\09-01_tarification\09-01-05_tarifs_annuels\Tarif 2021\Suivi de mesures de contrôle\CA-30-oct-Tarif-2021-scénarioCéram-verre2019.xlsx</t>
  </si>
  <si>
    <t>Proportion des coûts nets (Section Coûts répartis selon la formule à 3 facteurs par catégorie)</t>
  </si>
  <si>
    <t>Frais ÉEQ; Frais d'études (Section Indemnité RQ et Frais de gestion)</t>
  </si>
  <si>
    <t>Sommaire matières</t>
  </si>
  <si>
    <t>Quantité totale (kg)</t>
  </si>
  <si>
    <t>tblMatières : coût brut et revenu brut</t>
  </si>
  <si>
    <t>Total Coûts nets (Section Coûts nets à compenser)</t>
  </si>
  <si>
    <t>Anticipation tarif fixe (Section Provision et Fonds de risque)</t>
  </si>
  <si>
    <t>% Provision pour mauvaises créances (Section Provision et Fonds de risque)</t>
  </si>
  <si>
    <t>Limitation hausse</t>
  </si>
  <si>
    <t>Le montant retrouvé dans le fichier source est 12 366 121$, tandis que le montant retrouvé dans ce fichier est de 13 699 165$.</t>
  </si>
  <si>
    <t>Section Fonds de risque</t>
  </si>
  <si>
    <t>Taux du tarif</t>
  </si>
  <si>
    <t>Taux du tarif associés à chaque matière.</t>
  </si>
  <si>
    <t>Taux 2021 ($/tonne)</t>
  </si>
  <si>
    <t>Remplacé par le montant au Règlement i.e. 13 463 863,6$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</si>
</sst>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5" formatCode="#,##0\ &quot;$&quot;_);\(#,##0\ &quot;$&quot;\)"/>
    <numFmt numFmtId="7" formatCode="#,##0.00\ &quot;$&quot;_);\(#,##0.00\ &quot;$&quot;\)"/>
    <numFmt numFmtId="44" formatCode="_ * #,##0.00_)\ &quot;$&quot;_ ;_ * \(#,##0.00\)\ &quot;$&quot;_ ;_ * &quot;-&quot;??_)\ &quot;$&quot;_ ;_ @_ "/>
    <numFmt numFmtId="164" formatCode="_ * #,##0.00_)\ _$_ ;_ * \(#,##0.00\)\ _$_ ;_ * &quot;-&quot;??_)\ _$_ ;_ @_ "/>
    <numFmt numFmtId="165" formatCode="_-&quot;$&quot;* #,##0.00_-;\-&quot;$&quot;* #,##0.00_-;_-&quot;$&quot;* &quot;-&quot;??_-;_-@_-"/>
    <numFmt numFmtId="166" formatCode="_-* #,##0.00_-;\-* #,##0.00_-;_-* &quot;-&quot;??_-;_-@_-"/>
    <numFmt numFmtId="167" formatCode="_ * #,##0.00_ \ [$$-C0C]_ ;_ * \-#,##0.00\ \ [$$-C0C]_ ;_ * &quot;-&quot;??_ \ [$$-C0C]_ ;_ @_ "/>
    <numFmt numFmtId="168" formatCode="0.0%"/>
    <numFmt numFmtId="169" formatCode="_-* #,##0_-;\-* #,##0_-;_-* &quot;-&quot;??_-;_-@_-"/>
    <numFmt numFmtId="170" formatCode="#,##0.00\ [$$-C0C]"/>
    <numFmt numFmtId="171" formatCode="#,##0.00\ &quot;$&quot;&quot;/t&quot;"/>
    <numFmt numFmtId="172" formatCode="#,##0.00\ &quot;$&quot;"/>
    <numFmt numFmtId="173" formatCode="_ * #,##0.00_)\ [$€-1]_ ;_ * \(#,##0.00\)\ [$€-1]_ ;_ * &quot;-&quot;??_)\ [$€-1]_ "/>
    <numFmt numFmtId="174" formatCode="_(* #,##0.00_);_(* \(#,##0.00\);_(* &quot;-&quot;??_);_(@_)"/>
    <numFmt numFmtId="175" formatCode="#,##0_);[Red]\(#,##0\);\-_)"/>
    <numFmt numFmtId="176" formatCode="#,##0_ ;[Red]\-#,##0\ "/>
    <numFmt numFmtId="177" formatCode="0.0000%"/>
    <numFmt numFmtId="178" formatCode="m/d/yy\ h:mm:ss"/>
    <numFmt numFmtId="179" formatCode="_ * #,##0.00_)\ [$$-C0C]_ ;_ * \(#,##0.00\)\ [$$-C0C]_ ;_ * &quot;-&quot;??_)\ [$$-C0C]_ ;_ @_ "/>
    <numFmt numFmtId="180" formatCode="_ * #,##0_ \ [$$-C0C]_ ;_ * \-#,##0\ \ [$$-C0C]_ ;_ * &quot;-&quot;??_ \ [$$-C0C]_ ;_ @_ "/>
    <numFmt numFmtId="181" formatCode="_ * #,##0_)\ [$$-C0C]_ ;_ * \(#,##0\)\ [$$-C0C]_ ;_ * &quot;-&quot;??_)\ [$$-C0C]_ ;_ @_ "/>
    <numFmt numFmtId="182" formatCode="_-&quot;$&quot;* #,##0_-;\-&quot;$&quot;* #,##0_-;_-&quot;$&quot;* &quot;-&quot;??_-;_-@_-"/>
    <numFmt numFmtId="183" formatCode="#,##0\ [$$-C0C]"/>
    <numFmt numFmtId="184" formatCode="0.0"/>
    <numFmt numFmtId="185" formatCode="_ * #,##0_)\ &quot;$&quot;_ ;_ * \(#,##0\)\ &quot;$&quot;_ ;_ * &quot;-&quot;??_)\ &quot;$&quot;_ ;_ @_ "/>
    <numFmt numFmtId="186" formatCode="#,##0\ [$$-C0C]_);\(#,##0\ [$$-C0C]\)"/>
    <numFmt numFmtId="187" formatCode="#,##0\ &quot;$&quot;"/>
    <numFmt numFmtId="188" formatCode="0.000%"/>
    <numFmt numFmtId="189" formatCode="#,##0.0\ [$$-C0C]"/>
  </numFmts>
  <fonts count="81"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11"/>
      <color theme="1"/>
      <name val="Arial"/>
      <family val="2"/>
    </font>
    <font>
      <sz val="11"/>
      <color rgb="FF0070C0"/>
      <name val="Arial"/>
      <family val="2"/>
    </font>
    <font>
      <sz val="11"/>
      <name val="Arial"/>
      <family val="2"/>
    </font>
    <font>
      <b/>
      <sz val="11"/>
      <name val="Arial"/>
      <family val="2"/>
    </font>
    <font>
      <sz val="11"/>
      <name val="Calibri"/>
      <family val="2"/>
      <scheme val="minor"/>
    </font>
    <font>
      <b/>
      <sz val="12"/>
      <name val="Arial"/>
      <family val="2"/>
    </font>
    <font>
      <sz val="11"/>
      <color indexed="8"/>
      <name val="Arial"/>
      <family val="2"/>
    </font>
    <font>
      <sz val="11"/>
      <color indexed="8"/>
      <name val="Calibri"/>
      <family val="2"/>
    </font>
    <font>
      <b/>
      <sz val="11"/>
      <color indexed="8"/>
      <name val="Arial"/>
      <family val="2"/>
    </font>
    <font>
      <u/>
      <sz val="11"/>
      <color indexed="12"/>
      <name val="Calibri"/>
      <family val="2"/>
    </font>
    <font>
      <sz val="11"/>
      <color theme="0"/>
      <name val="Arial"/>
      <family val="2"/>
    </font>
    <font>
      <b/>
      <sz val="14"/>
      <color theme="1"/>
      <name val="Arial"/>
      <family val="2"/>
    </font>
    <font>
      <sz val="14"/>
      <name val="Arial"/>
      <family val="2"/>
    </font>
    <font>
      <b/>
      <sz val="11"/>
      <color rgb="FF0070C0"/>
      <name val="Arial"/>
      <family val="2"/>
    </font>
    <font>
      <b/>
      <sz val="10"/>
      <name val="Arial"/>
      <family val="2"/>
    </font>
    <font>
      <u/>
      <sz val="10"/>
      <color indexed="12"/>
      <name val="Arial"/>
      <family val="2"/>
    </font>
    <font>
      <u/>
      <sz val="11"/>
      <color rgb="FF0000F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sz val="10"/>
      <color indexed="5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sz val="10"/>
      <color indexed="8"/>
      <name val="Arial"/>
      <family val="2"/>
    </font>
    <font>
      <sz val="11"/>
      <color indexed="9"/>
      <name val="Arial"/>
      <family val="2"/>
    </font>
    <font>
      <sz val="10"/>
      <color indexed="9"/>
      <name val="Arial"/>
      <family val="2"/>
    </font>
    <font>
      <sz val="11"/>
      <color indexed="20"/>
      <name val="Arial"/>
      <family val="2"/>
    </font>
    <font>
      <sz val="10"/>
      <color indexed="20"/>
      <name val="Arial"/>
      <family val="2"/>
    </font>
    <font>
      <b/>
      <sz val="11"/>
      <color indexed="52"/>
      <name val="Arial"/>
      <family val="2"/>
    </font>
    <font>
      <b/>
      <sz val="11"/>
      <color indexed="9"/>
      <name val="Arial"/>
      <family val="2"/>
    </font>
    <font>
      <i/>
      <sz val="11"/>
      <color indexed="23"/>
      <name val="Arial"/>
      <family val="2"/>
    </font>
    <font>
      <i/>
      <sz val="10"/>
      <color indexed="23"/>
      <name val="Arial"/>
      <family val="2"/>
    </font>
    <font>
      <sz val="11"/>
      <color indexed="17"/>
      <name val="Arial"/>
      <family val="2"/>
    </font>
    <font>
      <sz val="10"/>
      <color indexed="17"/>
      <name val="Arial"/>
      <family val="2"/>
    </font>
    <font>
      <b/>
      <sz val="15"/>
      <color indexed="62"/>
      <name val="Calibri"/>
      <family val="2"/>
    </font>
    <font>
      <b/>
      <sz val="13"/>
      <color indexed="62"/>
      <name val="Calibri"/>
      <family val="2"/>
    </font>
    <font>
      <b/>
      <sz val="11"/>
      <color indexed="62"/>
      <name val="Calibri"/>
      <family val="2"/>
    </font>
    <font>
      <b/>
      <sz val="10"/>
      <name val="Univers"/>
      <family val="2"/>
    </font>
    <font>
      <sz val="11"/>
      <color indexed="62"/>
      <name val="Arial"/>
      <family val="2"/>
    </font>
    <font>
      <b/>
      <sz val="10"/>
      <color indexed="12"/>
      <name val="Arial"/>
      <family val="2"/>
    </font>
    <font>
      <sz val="11"/>
      <color indexed="52"/>
      <name val="Arial"/>
      <family val="2"/>
    </font>
    <font>
      <sz val="11"/>
      <color indexed="60"/>
      <name val="Arial"/>
      <family val="2"/>
    </font>
    <font>
      <sz val="10"/>
      <color indexed="60"/>
      <name val="Arial"/>
      <family val="2"/>
    </font>
    <font>
      <b/>
      <sz val="11"/>
      <color indexed="63"/>
      <name val="Arial"/>
      <family val="2"/>
    </font>
    <font>
      <i/>
      <sz val="10"/>
      <name val="Arial"/>
      <family val="2"/>
    </font>
    <font>
      <b/>
      <sz val="9"/>
      <name val="Arial"/>
      <family val="2"/>
    </font>
    <font>
      <sz val="18"/>
      <name val="Arial"/>
      <family val="2"/>
    </font>
    <font>
      <b/>
      <sz val="18"/>
      <color indexed="62"/>
      <name val="Cambria"/>
      <family val="2"/>
    </font>
    <font>
      <sz val="11"/>
      <color indexed="10"/>
      <name val="Arial"/>
      <family val="2"/>
    </font>
    <font>
      <sz val="10"/>
      <color indexed="10"/>
      <name val="Arial"/>
      <family val="2"/>
    </font>
    <font>
      <b/>
      <vertAlign val="superscript"/>
      <sz val="11"/>
      <color theme="1"/>
      <name val="Arial"/>
      <family val="2"/>
    </font>
    <font>
      <vertAlign val="superscript"/>
      <sz val="11"/>
      <color theme="1"/>
      <name val="Arial"/>
      <family val="2"/>
    </font>
    <font>
      <i/>
      <sz val="11"/>
      <color theme="1"/>
      <name val="Arial"/>
      <family val="2"/>
    </font>
    <font>
      <u/>
      <sz val="11"/>
      <color theme="10"/>
      <name val="Calibri"/>
      <family val="2"/>
      <scheme val="minor"/>
    </font>
    <font>
      <sz val="11"/>
      <color theme="3" tint="0.39997558519241921"/>
      <name val="Arial"/>
      <family val="2"/>
    </font>
    <font>
      <b/>
      <sz val="12"/>
      <color theme="1"/>
      <name val="Arial"/>
      <family val="2"/>
    </font>
    <font>
      <b/>
      <sz val="11"/>
      <color theme="1"/>
      <name val="Calibri"/>
      <family val="2"/>
      <scheme val="minor"/>
    </font>
    <font>
      <sz val="9"/>
      <color indexed="81"/>
      <name val="Tahoma"/>
      <family val="2"/>
    </font>
    <font>
      <b/>
      <sz val="9"/>
      <color indexed="81"/>
      <name val="Tahoma"/>
      <family val="2"/>
    </font>
  </fonts>
  <fills count="54">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indexed="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darkUp">
        <fgColor theme="0" tint="-4.9989318521683403E-2"/>
        <bgColor theme="0" tint="-0.14996795556505021"/>
      </patternFill>
    </fill>
    <fill>
      <patternFill patternType="solid">
        <fgColor theme="6" tint="0.79998168889431442"/>
        <bgColor indexed="64"/>
      </patternFill>
    </fill>
    <fill>
      <patternFill patternType="solid">
        <fgColor theme="5" tint="0.79998168889431442"/>
        <bgColor indexed="64"/>
      </patternFill>
    </fill>
    <fill>
      <patternFill patternType="lightGray">
        <fgColor theme="4" tint="0.79998168889431442"/>
        <bgColor theme="0"/>
      </patternFill>
    </fill>
    <fill>
      <patternFill patternType="lightGray">
        <fgColor theme="5" tint="0.79998168889431442"/>
        <bgColor theme="0"/>
      </patternFill>
    </fill>
    <fill>
      <patternFill patternType="solid">
        <fgColor theme="2"/>
        <bgColor theme="5" tint="0.79998168889431442"/>
      </patternFill>
    </fill>
    <fill>
      <patternFill patternType="lightGray">
        <fgColor theme="6" tint="0.79998168889431442"/>
        <bgColor theme="0"/>
      </patternFill>
    </fill>
    <fill>
      <patternFill patternType="lightGray">
        <fgColor theme="6" tint="0.79995117038483843"/>
        <bgColor theme="0"/>
      </patternFill>
    </fill>
    <fill>
      <patternFill patternType="solid">
        <fgColor theme="0"/>
        <bgColor theme="6" tint="0.79998168889431442"/>
      </patternFill>
    </fill>
    <fill>
      <patternFill patternType="solid">
        <fgColor theme="0"/>
        <bgColor theme="5" tint="0.79998168889431442"/>
      </patternFill>
    </fill>
    <fill>
      <patternFill patternType="solid">
        <fgColor theme="2" tint="-0.249977111117893"/>
        <bgColor indexed="64"/>
      </patternFill>
    </fill>
    <fill>
      <patternFill patternType="solid">
        <fgColor indexed="9"/>
        <bgColor indexed="64"/>
      </patternFill>
    </fill>
    <fill>
      <patternFill patternType="medium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indexed="1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79998168889431442"/>
        <bgColor theme="6" tint="0.79998168889431442"/>
      </patternFill>
    </fill>
    <fill>
      <patternFill patternType="solid">
        <fgColor theme="7" tint="0.79998168889431442"/>
        <bgColor theme="5" tint="0.79998168889431442"/>
      </patternFill>
    </fill>
    <fill>
      <patternFill patternType="solid">
        <fgColor theme="7" tint="0.79998168889431442"/>
        <bgColor indexed="64"/>
      </patternFill>
    </fill>
  </fills>
  <borders count="99">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49"/>
      </top>
      <bottom style="double">
        <color indexed="49"/>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top/>
      <bottom style="double">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double">
        <color indexed="64"/>
      </top>
      <bottom style="medium">
        <color indexed="64"/>
      </bottom>
      <diagonal/>
    </border>
  </borders>
  <cellStyleXfs count="1248">
    <xf numFmtId="0" fontId="0" fillId="0" borderId="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 fillId="0" borderId="0"/>
    <xf numFmtId="16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2" borderId="1" applyNumberFormat="0" applyFont="0" applyAlignment="0" applyProtection="0"/>
    <xf numFmtId="0" fontId="2" fillId="2" borderId="1" applyNumberFormat="0" applyFont="0" applyAlignment="0" applyProtection="0"/>
    <xf numFmtId="0" fontId="13" fillId="0" borderId="0" applyNumberFormat="0" applyFill="0" applyBorder="0" applyAlignment="0" applyProtection="0"/>
    <xf numFmtId="0" fontId="2" fillId="0" borderId="0"/>
    <xf numFmtId="173" fontId="2" fillId="0" borderId="0" applyFont="0" applyFill="0" applyBorder="0" applyAlignment="0" applyProtection="0"/>
    <xf numFmtId="0" fontId="19" fillId="0" borderId="0" applyNumberFormat="0" applyFill="0" applyBorder="0" applyAlignment="0" applyProtection="0">
      <alignment vertical="top"/>
      <protection locked="0"/>
    </xf>
    <xf numFmtId="44" fontId="2" fillId="0" borderId="0" applyFont="0" applyFill="0" applyBorder="0" applyAlignment="0" applyProtection="0"/>
    <xf numFmtId="0" fontId="2" fillId="0" borderId="0"/>
    <xf numFmtId="9" fontId="2" fillId="0" borderId="0" applyFont="0" applyFill="0" applyBorder="0" applyAlignment="0" applyProtection="0"/>
    <xf numFmtId="0" fontId="20" fillId="0" borderId="0" applyNumberFormat="0" applyFill="0" applyBorder="0" applyAlignment="0" applyProtection="0"/>
    <xf numFmtId="40" fontId="21" fillId="20" borderId="0">
      <alignment horizontal="right"/>
    </xf>
    <xf numFmtId="0" fontId="22" fillId="20" borderId="0">
      <alignment horizontal="right"/>
    </xf>
    <xf numFmtId="0" fontId="23" fillId="20" borderId="7"/>
    <xf numFmtId="0" fontId="23" fillId="0" borderId="0" applyBorder="0">
      <alignment horizontal="centerContinuous"/>
    </xf>
    <xf numFmtId="0" fontId="24" fillId="0" borderId="0" applyBorder="0">
      <alignment horizontal="centerContinuous"/>
    </xf>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164" fontId="1" fillId="0" borderId="0" applyFont="0" applyFill="0" applyBorder="0" applyAlignment="0" applyProtection="0"/>
    <xf numFmtId="175" fontId="2" fillId="0" borderId="0" applyBorder="0"/>
    <xf numFmtId="175" fontId="18" fillId="0" borderId="22" applyNumberFormat="0" applyFill="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27" fillId="32"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9" fillId="40" borderId="41" applyNumberFormat="0" applyAlignment="0" applyProtection="0"/>
    <xf numFmtId="0" fontId="30" fillId="41" borderId="42" applyNumberFormat="0" applyAlignment="0" applyProtection="0"/>
    <xf numFmtId="174" fontId="11" fillId="0" borderId="0" applyFont="0" applyFill="0" applyBorder="0" applyAlignment="0" applyProtection="0"/>
    <xf numFmtId="0" fontId="31" fillId="0" borderId="0" applyNumberFormat="0" applyFill="0" applyBorder="0" applyAlignment="0" applyProtection="0"/>
    <xf numFmtId="0" fontId="33" fillId="24" borderId="0" applyNumberFormat="0" applyBorder="0" applyAlignment="0" applyProtection="0"/>
    <xf numFmtId="0" fontId="34" fillId="0" borderId="43"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36" fillId="0" borderId="0" applyNumberFormat="0" applyFill="0" applyBorder="0" applyAlignment="0" applyProtection="0"/>
    <xf numFmtId="0" fontId="32" fillId="0" borderId="0" applyNumberFormat="0" applyFill="0" applyBorder="0" applyAlignment="0" applyProtection="0">
      <alignment vertical="top"/>
      <protection locked="0"/>
    </xf>
    <xf numFmtId="0" fontId="37" fillId="27" borderId="41" applyNumberFormat="0" applyAlignment="0" applyProtection="0"/>
    <xf numFmtId="0" fontId="38" fillId="0" borderId="46" applyNumberFormat="0" applyFill="0" applyAlignment="0" applyProtection="0"/>
    <xf numFmtId="0" fontId="39" fillId="42" borderId="0" applyNumberFormat="0" applyBorder="0" applyAlignment="0" applyProtection="0"/>
    <xf numFmtId="0" fontId="2" fillId="43" borderId="47" applyNumberFormat="0" applyFont="0" applyAlignment="0" applyProtection="0"/>
    <xf numFmtId="0" fontId="40" fillId="40" borderId="48" applyNumberFormat="0" applyAlignment="0" applyProtection="0"/>
    <xf numFmtId="0" fontId="41" fillId="0" borderId="0" applyNumberFormat="0" applyFill="0" applyBorder="0" applyAlignment="0" applyProtection="0"/>
    <xf numFmtId="0" fontId="42" fillId="0" borderId="49" applyNumberFormat="0" applyFill="0" applyAlignment="0" applyProtection="0"/>
    <xf numFmtId="0" fontId="43" fillId="0" borderId="0" applyNumberFormat="0" applyFill="0" applyBorder="0" applyAlignment="0" applyProtection="0"/>
    <xf numFmtId="164" fontId="2" fillId="0" borderId="0" applyFont="0" applyFill="0" applyBorder="0" applyAlignment="0" applyProtection="0"/>
    <xf numFmtId="0" fontId="2" fillId="0" borderId="0"/>
    <xf numFmtId="175" fontId="2" fillId="0" borderId="0" applyBorder="0"/>
    <xf numFmtId="175" fontId="18" fillId="0" borderId="22" applyNumberFormat="0" applyFill="0" applyAlignment="0" applyProtection="0"/>
    <xf numFmtId="0" fontId="2" fillId="43" borderId="47" applyNumberFormat="0" applyFont="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164" fontId="2" fillId="0" borderId="0" applyFont="0" applyFill="0" applyBorder="0" applyAlignment="0" applyProtection="0"/>
    <xf numFmtId="0" fontId="44" fillId="0" borderId="0" applyNumberFormat="0" applyFill="0" applyBorder="0" applyAlignment="0" applyProtection="0"/>
    <xf numFmtId="166" fontId="2" fillId="0" borderId="0" applyFont="0" applyFill="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0"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2"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0"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3"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0"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4"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45" fillId="26"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7"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9"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0"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45" fillId="28"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1"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46"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2"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29"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46"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30"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47"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4"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46"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46"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9" fillId="23" borderId="0" applyNumberFormat="0" applyBorder="0" applyAlignment="0" applyProtection="0"/>
    <xf numFmtId="0" fontId="29"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174" fontId="2"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1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5" fillId="24" borderId="0" applyNumberFormat="0" applyBorder="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3" fontId="59" fillId="46" borderId="0"/>
    <xf numFmtId="0" fontId="32" fillId="0" borderId="0" applyNumberFormat="0" applyFill="0" applyBorder="0" applyAlignment="0" applyProtection="0">
      <alignment vertical="top"/>
      <protection locked="0"/>
    </xf>
    <xf numFmtId="0" fontId="37"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176" fontId="61" fillId="0" borderId="0" applyNumberFormat="0" applyAlignment="0"/>
    <xf numFmtId="176" fontId="18" fillId="0" borderId="0">
      <alignment horizontal="right"/>
    </xf>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4" fillId="42" borderId="0" applyNumberFormat="0" applyBorder="0" applyAlignment="0" applyProtection="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40"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23" fillId="20" borderId="7"/>
    <xf numFmtId="0" fontId="23" fillId="20" borderId="7"/>
    <xf numFmtId="0" fontId="23" fillId="20" borderId="7"/>
    <xf numFmtId="0" fontId="40" fillId="40" borderId="4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6" fillId="0" borderId="2">
      <alignment horizontal="center"/>
    </xf>
    <xf numFmtId="0" fontId="26" fillId="0" borderId="2">
      <alignment horizontal="center"/>
    </xf>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0" fontId="45" fillId="0" borderId="0" applyNumberFormat="0" applyFill="0" applyBorder="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1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Protection="0">
      <alignment horizontal="left"/>
    </xf>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68" fillId="0" borderId="0" applyNumberFormat="0" applyFill="0" applyBorder="0" applyAlignment="0" applyProtection="0"/>
    <xf numFmtId="0" fontId="45" fillId="0" borderId="0" applyNumberFormat="0" applyFill="0" applyBorder="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1" fillId="0" borderId="0" applyNumberFormat="0" applyFill="0" applyBorder="0" applyAlignment="0" applyProtection="0"/>
    <xf numFmtId="166" fontId="2" fillId="0" borderId="0" applyFont="0" applyFill="0" applyBorder="0" applyAlignment="0" applyProtection="0"/>
    <xf numFmtId="0" fontId="1" fillId="0" borderId="0"/>
    <xf numFmtId="0" fontId="44" fillId="0" borderId="0" applyNumberForma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75" fillId="0" borderId="0" applyNumberFormat="0" applyFill="0" applyBorder="0" applyAlignment="0" applyProtection="0"/>
  </cellStyleXfs>
  <cellXfs count="714">
    <xf numFmtId="0" fontId="0" fillId="0" borderId="0" xfId="0"/>
    <xf numFmtId="0" fontId="3" fillId="0" borderId="0" xfId="0" applyFont="1"/>
    <xf numFmtId="0" fontId="2" fillId="3" borderId="0" xfId="0" applyFont="1" applyFill="1"/>
    <xf numFmtId="0" fontId="3" fillId="3" borderId="0" xfId="0" applyFont="1" applyFill="1"/>
    <xf numFmtId="0" fontId="4" fillId="3" borderId="2" xfId="0" applyFont="1" applyFill="1" applyBorder="1"/>
    <xf numFmtId="0" fontId="3" fillId="3" borderId="2" xfId="0" applyFont="1" applyFill="1" applyBorder="1"/>
    <xf numFmtId="0" fontId="4" fillId="3" borderId="0" xfId="0" applyFont="1" applyFill="1" applyBorder="1"/>
    <xf numFmtId="0" fontId="3" fillId="3" borderId="0" xfId="0" applyFont="1" applyFill="1" applyBorder="1"/>
    <xf numFmtId="0" fontId="3" fillId="3" borderId="7" xfId="0" applyFont="1" applyFill="1" applyBorder="1"/>
    <xf numFmtId="0" fontId="4" fillId="4" borderId="13" xfId="0" applyFont="1" applyFill="1" applyBorder="1"/>
    <xf numFmtId="0" fontId="4" fillId="5" borderId="13" xfId="0" applyFont="1" applyFill="1" applyBorder="1"/>
    <xf numFmtId="0" fontId="3" fillId="5" borderId="13" xfId="0" applyFont="1" applyFill="1" applyBorder="1"/>
    <xf numFmtId="0" fontId="3" fillId="3" borderId="11" xfId="0" applyFont="1" applyFill="1" applyBorder="1"/>
    <xf numFmtId="0" fontId="4" fillId="3" borderId="17" xfId="0" applyFont="1" applyFill="1" applyBorder="1"/>
    <xf numFmtId="0" fontId="4" fillId="5" borderId="14" xfId="0" applyFont="1" applyFill="1" applyBorder="1"/>
    <xf numFmtId="0" fontId="3" fillId="5" borderId="14" xfId="0" applyFont="1" applyFill="1" applyBorder="1"/>
    <xf numFmtId="0" fontId="0" fillId="3" borderId="0" xfId="0" applyFill="1"/>
    <xf numFmtId="9" fontId="3" fillId="3" borderId="0" xfId="2" applyFont="1" applyFill="1" applyBorder="1"/>
    <xf numFmtId="0" fontId="4" fillId="4" borderId="15" xfId="0" applyFont="1" applyFill="1" applyBorder="1"/>
    <xf numFmtId="0" fontId="4" fillId="3" borderId="8" xfId="0" applyFont="1" applyFill="1" applyBorder="1"/>
    <xf numFmtId="0" fontId="4" fillId="5" borderId="12" xfId="0" applyFont="1" applyFill="1" applyBorder="1"/>
    <xf numFmtId="169" fontId="4" fillId="5" borderId="12" xfId="3" applyNumberFormat="1" applyFont="1" applyFill="1" applyBorder="1"/>
    <xf numFmtId="169" fontId="4" fillId="5" borderId="13" xfId="3" applyNumberFormat="1" applyFont="1" applyFill="1" applyBorder="1"/>
    <xf numFmtId="0" fontId="4" fillId="5" borderId="2" xfId="0" applyFont="1" applyFill="1" applyBorder="1"/>
    <xf numFmtId="169" fontId="4" fillId="5" borderId="13" xfId="0" applyNumberFormat="1" applyFont="1" applyFill="1" applyBorder="1"/>
    <xf numFmtId="169" fontId="4" fillId="5" borderId="14" xfId="0" applyNumberFormat="1" applyFont="1" applyFill="1" applyBorder="1"/>
    <xf numFmtId="169" fontId="3" fillId="3" borderId="0" xfId="3" applyNumberFormat="1" applyFont="1" applyFill="1"/>
    <xf numFmtId="169" fontId="4" fillId="5" borderId="12" xfId="0" applyNumberFormat="1" applyFont="1" applyFill="1" applyBorder="1"/>
    <xf numFmtId="169" fontId="4" fillId="5" borderId="18" xfId="3" applyNumberFormat="1" applyFont="1" applyFill="1" applyBorder="1"/>
    <xf numFmtId="169" fontId="4" fillId="5" borderId="15" xfId="3" applyNumberFormat="1" applyFont="1" applyFill="1" applyBorder="1"/>
    <xf numFmtId="169" fontId="4" fillId="5" borderId="15" xfId="0" applyNumberFormat="1" applyFont="1" applyFill="1" applyBorder="1"/>
    <xf numFmtId="169" fontId="4" fillId="5" borderId="17" xfId="0" applyNumberFormat="1" applyFont="1" applyFill="1" applyBorder="1"/>
    <xf numFmtId="0" fontId="3" fillId="5" borderId="17" xfId="0" applyFont="1" applyFill="1" applyBorder="1"/>
    <xf numFmtId="0" fontId="3" fillId="5" borderId="28" xfId="0" applyFont="1" applyFill="1" applyBorder="1"/>
    <xf numFmtId="0" fontId="3" fillId="5" borderId="21" xfId="0" applyFont="1" applyFill="1" applyBorder="1"/>
    <xf numFmtId="0" fontId="3" fillId="3" borderId="0" xfId="0" applyFont="1" applyFill="1"/>
    <xf numFmtId="0" fontId="3" fillId="3" borderId="2" xfId="0" applyFont="1" applyFill="1" applyBorder="1"/>
    <xf numFmtId="0" fontId="3" fillId="3" borderId="0" xfId="0" applyFont="1" applyFill="1" applyBorder="1"/>
    <xf numFmtId="0" fontId="3" fillId="3" borderId="6" xfId="0" applyFont="1" applyFill="1" applyBorder="1"/>
    <xf numFmtId="0" fontId="3" fillId="3" borderId="7" xfId="0" applyFont="1" applyFill="1" applyBorder="1"/>
    <xf numFmtId="0" fontId="3" fillId="3" borderId="8" xfId="0" applyFont="1" applyFill="1" applyBorder="1"/>
    <xf numFmtId="0" fontId="3" fillId="3" borderId="10" xfId="0" applyFont="1" applyFill="1" applyBorder="1"/>
    <xf numFmtId="0" fontId="4" fillId="4" borderId="21" xfId="0" applyFont="1" applyFill="1" applyBorder="1"/>
    <xf numFmtId="0" fontId="4" fillId="5" borderId="21" xfId="0" applyFont="1" applyFill="1" applyBorder="1"/>
    <xf numFmtId="0" fontId="4" fillId="4" borderId="13" xfId="0" applyFont="1" applyFill="1" applyBorder="1" applyAlignment="1">
      <alignment horizontal="center" wrapText="1"/>
    </xf>
    <xf numFmtId="0" fontId="3" fillId="5" borderId="15" xfId="0" applyFont="1" applyFill="1" applyBorder="1"/>
    <xf numFmtId="0" fontId="4" fillId="3" borderId="6" xfId="0" applyFont="1" applyFill="1" applyBorder="1"/>
    <xf numFmtId="0" fontId="4" fillId="4" borderId="15" xfId="0" applyFont="1" applyFill="1" applyBorder="1" applyAlignment="1">
      <alignment horizontal="center" wrapText="1"/>
    </xf>
    <xf numFmtId="169" fontId="3" fillId="3" borderId="7" xfId="3" applyNumberFormat="1" applyFont="1" applyFill="1" applyBorder="1"/>
    <xf numFmtId="0" fontId="3" fillId="5" borderId="9" xfId="0" applyFont="1" applyFill="1" applyBorder="1"/>
    <xf numFmtId="0" fontId="4" fillId="5" borderId="18" xfId="0" applyFont="1" applyFill="1" applyBorder="1"/>
    <xf numFmtId="0" fontId="4" fillId="5" borderId="15" xfId="0" applyFont="1" applyFill="1" applyBorder="1"/>
    <xf numFmtId="0" fontId="4" fillId="5" borderId="24" xfId="0" applyFont="1" applyFill="1" applyBorder="1"/>
    <xf numFmtId="0" fontId="4" fillId="5" borderId="17" xfId="0" applyFont="1" applyFill="1" applyBorder="1"/>
    <xf numFmtId="0" fontId="3" fillId="5" borderId="26" xfId="0" applyFont="1" applyFill="1" applyBorder="1"/>
    <xf numFmtId="0" fontId="4" fillId="5" borderId="29" xfId="0" applyFont="1" applyFill="1" applyBorder="1"/>
    <xf numFmtId="0" fontId="4" fillId="5" borderId="30" xfId="0" applyFont="1" applyFill="1" applyBorder="1"/>
    <xf numFmtId="0" fontId="4" fillId="5" borderId="28" xfId="0" applyFont="1" applyFill="1" applyBorder="1"/>
    <xf numFmtId="169" fontId="3" fillId="3" borderId="6" xfId="3" applyNumberFormat="1" applyFont="1" applyFill="1" applyBorder="1"/>
    <xf numFmtId="169" fontId="4" fillId="5" borderId="29" xfId="3" applyNumberFormat="1" applyFont="1" applyFill="1" applyBorder="1"/>
    <xf numFmtId="169" fontId="4" fillId="5" borderId="21" xfId="3" applyNumberFormat="1" applyFont="1" applyFill="1" applyBorder="1"/>
    <xf numFmtId="169" fontId="4" fillId="5" borderId="21" xfId="0" applyNumberFormat="1" applyFont="1" applyFill="1" applyBorder="1"/>
    <xf numFmtId="169" fontId="4" fillId="5" borderId="28" xfId="0" applyNumberFormat="1" applyFont="1" applyFill="1" applyBorder="1"/>
    <xf numFmtId="0" fontId="3" fillId="3" borderId="4" xfId="0" applyFont="1" applyFill="1" applyBorder="1"/>
    <xf numFmtId="9" fontId="3" fillId="3" borderId="26" xfId="2" applyFont="1" applyFill="1" applyBorder="1"/>
    <xf numFmtId="165" fontId="3" fillId="3" borderId="26" xfId="1" applyFont="1" applyFill="1" applyBorder="1"/>
    <xf numFmtId="0" fontId="3" fillId="3" borderId="0" xfId="0" applyFont="1" applyFill="1" applyBorder="1" applyAlignment="1">
      <alignment horizontal="center"/>
    </xf>
    <xf numFmtId="9" fontId="3" fillId="3" borderId="6" xfId="2" applyFont="1" applyFill="1" applyBorder="1"/>
    <xf numFmtId="9" fontId="3" fillId="5" borderId="21" xfId="2" applyFont="1" applyFill="1" applyBorder="1"/>
    <xf numFmtId="0" fontId="4" fillId="7" borderId="13" xfId="0" applyFont="1" applyFill="1" applyBorder="1" applyAlignment="1">
      <alignment horizontal="right"/>
    </xf>
    <xf numFmtId="0" fontId="4" fillId="9" borderId="21" xfId="0" applyFont="1" applyFill="1" applyBorder="1" applyAlignment="1">
      <alignment horizontal="center" wrapText="1"/>
    </xf>
    <xf numFmtId="0" fontId="4" fillId="9" borderId="13" xfId="0" applyFont="1" applyFill="1" applyBorder="1" applyAlignment="1">
      <alignment horizontal="center" wrapText="1"/>
    </xf>
    <xf numFmtId="0" fontId="4" fillId="9" borderId="15" xfId="0" applyFont="1" applyFill="1" applyBorder="1" applyAlignment="1">
      <alignment horizontal="center" wrapText="1"/>
    </xf>
    <xf numFmtId="0" fontId="4" fillId="9" borderId="3" xfId="0" applyFont="1" applyFill="1" applyBorder="1" applyAlignment="1">
      <alignment horizontal="center" wrapText="1"/>
    </xf>
    <xf numFmtId="0" fontId="4" fillId="4" borderId="4" xfId="0" applyFont="1" applyFill="1" applyBorder="1" applyAlignment="1">
      <alignment horizontal="center" wrapText="1"/>
    </xf>
    <xf numFmtId="9" fontId="3" fillId="5" borderId="13" xfId="2" applyFont="1" applyFill="1" applyBorder="1"/>
    <xf numFmtId="168" fontId="3" fillId="15" borderId="0" xfId="2" applyNumberFormat="1" applyFont="1" applyFill="1" applyBorder="1"/>
    <xf numFmtId="168" fontId="3" fillId="15" borderId="22" xfId="2" applyNumberFormat="1" applyFont="1" applyFill="1" applyBorder="1"/>
    <xf numFmtId="168" fontId="3" fillId="5" borderId="13" xfId="2" applyNumberFormat="1" applyFont="1" applyFill="1" applyBorder="1"/>
    <xf numFmtId="168" fontId="3" fillId="3" borderId="31" xfId="2" applyNumberFormat="1" applyFont="1" applyFill="1" applyBorder="1"/>
    <xf numFmtId="168" fontId="3" fillId="16" borderId="0" xfId="2" applyNumberFormat="1" applyFont="1" applyFill="1" applyBorder="1"/>
    <xf numFmtId="0" fontId="4" fillId="5" borderId="13" xfId="0" applyFont="1" applyFill="1" applyBorder="1" applyAlignment="1">
      <alignment horizontal="center"/>
    </xf>
    <xf numFmtId="166" fontId="3" fillId="5" borderId="13" xfId="3" applyFont="1" applyFill="1" applyBorder="1"/>
    <xf numFmtId="0" fontId="4" fillId="5" borderId="21" xfId="0" applyFont="1" applyFill="1" applyBorder="1" applyAlignment="1">
      <alignment horizontal="center"/>
    </xf>
    <xf numFmtId="0" fontId="4" fillId="5" borderId="15" xfId="0" applyFont="1" applyFill="1" applyBorder="1" applyAlignment="1">
      <alignment horizontal="center"/>
    </xf>
    <xf numFmtId="165" fontId="4" fillId="5" borderId="14" xfId="1" applyFont="1" applyFill="1" applyBorder="1"/>
    <xf numFmtId="9" fontId="4" fillId="5" borderId="13" xfId="2" applyFont="1" applyFill="1" applyBorder="1"/>
    <xf numFmtId="168" fontId="4" fillId="5" borderId="13" xfId="2" applyNumberFormat="1" applyFont="1" applyFill="1" applyBorder="1"/>
    <xf numFmtId="9" fontId="4" fillId="5" borderId="29" xfId="2" applyFont="1" applyFill="1" applyBorder="1"/>
    <xf numFmtId="168" fontId="4" fillId="5" borderId="12" xfId="2" applyNumberFormat="1" applyFont="1" applyFill="1" applyBorder="1"/>
    <xf numFmtId="0" fontId="14" fillId="3" borderId="0" xfId="0" applyFont="1" applyFill="1"/>
    <xf numFmtId="0" fontId="15" fillId="19" borderId="32" xfId="0" applyFont="1" applyFill="1" applyBorder="1"/>
    <xf numFmtId="0" fontId="15" fillId="3" borderId="33" xfId="0" applyFont="1" applyFill="1" applyBorder="1"/>
    <xf numFmtId="0" fontId="3" fillId="5" borderId="0" xfId="0" applyFont="1" applyFill="1" applyBorder="1"/>
    <xf numFmtId="0" fontId="3" fillId="4" borderId="13" xfId="0" applyFont="1" applyFill="1" applyBorder="1"/>
    <xf numFmtId="0" fontId="3" fillId="4" borderId="15" xfId="0" applyFont="1" applyFill="1" applyBorder="1"/>
    <xf numFmtId="0" fontId="3" fillId="5" borderId="7" xfId="0" applyFont="1" applyFill="1" applyBorder="1"/>
    <xf numFmtId="0" fontId="4" fillId="7" borderId="21" xfId="0" applyFont="1" applyFill="1" applyBorder="1"/>
    <xf numFmtId="0" fontId="3" fillId="5" borderId="6" xfId="0" applyFont="1" applyFill="1" applyBorder="1" applyAlignment="1">
      <alignment horizontal="left" indent="1"/>
    </xf>
    <xf numFmtId="0" fontId="3" fillId="5" borderId="8" xfId="0" applyFont="1" applyFill="1" applyBorder="1" applyAlignment="1">
      <alignment horizontal="left" indent="1"/>
    </xf>
    <xf numFmtId="10" fontId="3" fillId="5" borderId="15" xfId="2" applyNumberFormat="1" applyFont="1" applyFill="1" applyBorder="1"/>
    <xf numFmtId="10" fontId="3" fillId="5" borderId="21" xfId="2" applyNumberFormat="1" applyFont="1" applyFill="1" applyBorder="1"/>
    <xf numFmtId="0" fontId="3" fillId="3" borderId="0" xfId="0" applyFont="1" applyFill="1" applyBorder="1" applyAlignment="1"/>
    <xf numFmtId="170" fontId="3" fillId="3" borderId="6" xfId="1" applyNumberFormat="1" applyFont="1" applyFill="1" applyBorder="1"/>
    <xf numFmtId="170" fontId="3" fillId="3" borderId="0" xfId="1" applyNumberFormat="1" applyFont="1" applyFill="1" applyBorder="1"/>
    <xf numFmtId="170" fontId="4" fillId="5" borderId="29" xfId="1" applyNumberFormat="1" applyFont="1" applyFill="1" applyBorder="1"/>
    <xf numFmtId="170" fontId="4" fillId="5" borderId="18" xfId="1" applyNumberFormat="1" applyFont="1" applyFill="1" applyBorder="1"/>
    <xf numFmtId="170" fontId="3" fillId="5" borderId="21" xfId="1" applyNumberFormat="1" applyFont="1" applyFill="1" applyBorder="1"/>
    <xf numFmtId="170" fontId="3" fillId="5" borderId="13" xfId="1" applyNumberFormat="1" applyFont="1" applyFill="1" applyBorder="1"/>
    <xf numFmtId="170" fontId="4" fillId="5" borderId="21" xfId="1" applyNumberFormat="1" applyFont="1" applyFill="1" applyBorder="1"/>
    <xf numFmtId="170" fontId="4" fillId="5" borderId="15" xfId="1" applyNumberFormat="1" applyFont="1" applyFill="1" applyBorder="1"/>
    <xf numFmtId="170" fontId="4" fillId="5" borderId="21" xfId="0" applyNumberFormat="1" applyFont="1" applyFill="1" applyBorder="1"/>
    <xf numFmtId="170" fontId="4" fillId="5" borderId="30" xfId="0" applyNumberFormat="1" applyFont="1" applyFill="1" applyBorder="1"/>
    <xf numFmtId="170" fontId="3" fillId="3" borderId="6" xfId="0" applyNumberFormat="1" applyFont="1" applyFill="1" applyBorder="1"/>
    <xf numFmtId="170" fontId="3" fillId="3" borderId="0" xfId="0" applyNumberFormat="1" applyFont="1" applyFill="1" applyBorder="1"/>
    <xf numFmtId="170" fontId="4" fillId="5" borderId="28" xfId="0" applyNumberFormat="1" applyFont="1" applyFill="1" applyBorder="1"/>
    <xf numFmtId="170" fontId="3" fillId="4" borderId="13" xfId="0" applyNumberFormat="1" applyFont="1" applyFill="1" applyBorder="1"/>
    <xf numFmtId="170" fontId="3" fillId="5" borderId="0" xfId="0" applyNumberFormat="1" applyFont="1" applyFill="1" applyBorder="1"/>
    <xf numFmtId="170" fontId="3" fillId="5" borderId="26" xfId="0" applyNumberFormat="1" applyFont="1" applyFill="1" applyBorder="1"/>
    <xf numFmtId="170" fontId="4" fillId="5" borderId="29" xfId="2" applyNumberFormat="1" applyFont="1" applyFill="1" applyBorder="1"/>
    <xf numFmtId="170" fontId="4" fillId="5" borderId="12" xfId="2" applyNumberFormat="1" applyFont="1" applyFill="1" applyBorder="1"/>
    <xf numFmtId="170" fontId="3" fillId="5" borderId="21" xfId="2" applyNumberFormat="1" applyFont="1" applyFill="1" applyBorder="1"/>
    <xf numFmtId="170" fontId="3" fillId="5" borderId="13" xfId="2" applyNumberFormat="1" applyFont="1" applyFill="1" applyBorder="1"/>
    <xf numFmtId="170" fontId="4" fillId="5" borderId="13" xfId="2" applyNumberFormat="1" applyFont="1" applyFill="1" applyBorder="1"/>
    <xf numFmtId="170" fontId="4" fillId="5" borderId="21" xfId="2" applyNumberFormat="1" applyFont="1" applyFill="1" applyBorder="1"/>
    <xf numFmtId="170" fontId="3" fillId="3" borderId="8" xfId="2" applyNumberFormat="1" applyFont="1" applyFill="1" applyBorder="1"/>
    <xf numFmtId="170" fontId="3" fillId="3" borderId="26" xfId="2" applyNumberFormat="1" applyFont="1" applyFill="1" applyBorder="1"/>
    <xf numFmtId="170" fontId="4" fillId="5" borderId="28" xfId="2" applyNumberFormat="1" applyFont="1" applyFill="1" applyBorder="1"/>
    <xf numFmtId="170" fontId="4" fillId="5" borderId="14" xfId="2" applyNumberFormat="1" applyFont="1" applyFill="1" applyBorder="1"/>
    <xf numFmtId="166" fontId="3" fillId="5" borderId="21" xfId="3" applyFont="1" applyFill="1" applyBorder="1"/>
    <xf numFmtId="167" fontId="3" fillId="5" borderId="13" xfId="2" applyNumberFormat="1" applyFont="1" applyFill="1" applyBorder="1"/>
    <xf numFmtId="167" fontId="3" fillId="3" borderId="0" xfId="0" applyNumberFormat="1" applyFont="1" applyFill="1" applyBorder="1"/>
    <xf numFmtId="167" fontId="3" fillId="4" borderId="13" xfId="0" applyNumberFormat="1" applyFont="1" applyFill="1" applyBorder="1"/>
    <xf numFmtId="167" fontId="3" fillId="5" borderId="0" xfId="0" applyNumberFormat="1" applyFont="1" applyFill="1" applyBorder="1"/>
    <xf numFmtId="167" fontId="3" fillId="5" borderId="26" xfId="0" applyNumberFormat="1" applyFont="1" applyFill="1" applyBorder="1"/>
    <xf numFmtId="167" fontId="3" fillId="5" borderId="13" xfId="1" applyNumberFormat="1" applyFont="1" applyFill="1" applyBorder="1"/>
    <xf numFmtId="170" fontId="3" fillId="3" borderId="19" xfId="2" applyNumberFormat="1" applyFont="1" applyFill="1" applyBorder="1"/>
    <xf numFmtId="170" fontId="3" fillId="3" borderId="7" xfId="0" applyNumberFormat="1" applyFont="1" applyFill="1" applyBorder="1"/>
    <xf numFmtId="170" fontId="4" fillId="5" borderId="17" xfId="0" applyNumberFormat="1" applyFont="1" applyFill="1" applyBorder="1"/>
    <xf numFmtId="170" fontId="3" fillId="5" borderId="13" xfId="0" applyNumberFormat="1" applyFont="1" applyFill="1" applyBorder="1"/>
    <xf numFmtId="170" fontId="3" fillId="5" borderId="15" xfId="0" applyNumberFormat="1" applyFont="1" applyFill="1" applyBorder="1"/>
    <xf numFmtId="169" fontId="3" fillId="3" borderId="0" xfId="3" applyNumberFormat="1" applyFont="1" applyFill="1" applyBorder="1"/>
    <xf numFmtId="9" fontId="4" fillId="10" borderId="33" xfId="0" applyNumberFormat="1" applyFont="1" applyFill="1" applyBorder="1" applyAlignment="1">
      <alignment horizontal="center"/>
    </xf>
    <xf numFmtId="0" fontId="3" fillId="0" borderId="0" xfId="0" applyFont="1" applyFill="1"/>
    <xf numFmtId="169" fontId="4" fillId="5" borderId="29" xfId="0" applyNumberFormat="1" applyFont="1" applyFill="1" applyBorder="1"/>
    <xf numFmtId="169" fontId="4" fillId="5" borderId="18" xfId="0" applyNumberFormat="1" applyFont="1" applyFill="1" applyBorder="1"/>
    <xf numFmtId="9" fontId="4" fillId="8" borderId="32" xfId="0" applyNumberFormat="1" applyFont="1" applyFill="1" applyBorder="1" applyAlignment="1">
      <alignment horizontal="centerContinuous" wrapText="1"/>
    </xf>
    <xf numFmtId="9" fontId="4" fillId="8" borderId="34" xfId="0" applyNumberFormat="1" applyFont="1" applyFill="1" applyBorder="1" applyAlignment="1">
      <alignment horizontal="centerContinuous" wrapText="1"/>
    </xf>
    <xf numFmtId="9" fontId="4" fillId="11" borderId="32" xfId="0" applyNumberFormat="1" applyFont="1" applyFill="1" applyBorder="1" applyAlignment="1">
      <alignment horizontal="centerContinuous" wrapText="1"/>
    </xf>
    <xf numFmtId="0" fontId="4" fillId="11" borderId="34" xfId="0" applyFont="1" applyFill="1" applyBorder="1" applyAlignment="1">
      <alignment horizontal="centerContinuous" wrapText="1"/>
    </xf>
    <xf numFmtId="9" fontId="4" fillId="5" borderId="28" xfId="0" applyNumberFormat="1" applyFont="1" applyFill="1" applyBorder="1"/>
    <xf numFmtId="168" fontId="3" fillId="15" borderId="26" xfId="2" applyNumberFormat="1" applyFont="1" applyFill="1" applyBorder="1"/>
    <xf numFmtId="9" fontId="3" fillId="3" borderId="0" xfId="0" applyNumberFormat="1" applyFont="1" applyFill="1" applyBorder="1"/>
    <xf numFmtId="9" fontId="3" fillId="5" borderId="13" xfId="0" applyNumberFormat="1" applyFont="1" applyFill="1" applyBorder="1"/>
    <xf numFmtId="9" fontId="3" fillId="3" borderId="0" xfId="1" applyNumberFormat="1" applyFont="1" applyFill="1" applyBorder="1"/>
    <xf numFmtId="0" fontId="0" fillId="0" borderId="38" xfId="0" applyBorder="1"/>
    <xf numFmtId="0" fontId="0" fillId="0" borderId="2" xfId="0" applyBorder="1"/>
    <xf numFmtId="9" fontId="4" fillId="5" borderId="12" xfId="1" applyNumberFormat="1" applyFont="1" applyFill="1" applyBorder="1"/>
    <xf numFmtId="9" fontId="4" fillId="5" borderId="13" xfId="1" applyNumberFormat="1" applyFont="1" applyFill="1" applyBorder="1"/>
    <xf numFmtId="170" fontId="3" fillId="5" borderId="21" xfId="0" applyNumberFormat="1" applyFont="1" applyFill="1" applyBorder="1"/>
    <xf numFmtId="3" fontId="3" fillId="3" borderId="6" xfId="1" applyNumberFormat="1" applyFont="1" applyFill="1" applyBorder="1"/>
    <xf numFmtId="3" fontId="4" fillId="5" borderId="29" xfId="1" applyNumberFormat="1" applyFont="1" applyFill="1" applyBorder="1"/>
    <xf numFmtId="3" fontId="3" fillId="3" borderId="6" xfId="0" applyNumberFormat="1" applyFont="1" applyFill="1" applyBorder="1"/>
    <xf numFmtId="3" fontId="3" fillId="5" borderId="21" xfId="0" applyNumberFormat="1" applyFont="1" applyFill="1" applyBorder="1"/>
    <xf numFmtId="3" fontId="4" fillId="5" borderId="21" xfId="1" applyNumberFormat="1" applyFont="1" applyFill="1" applyBorder="1"/>
    <xf numFmtId="3" fontId="4" fillId="5" borderId="28" xfId="0" applyNumberFormat="1" applyFont="1" applyFill="1" applyBorder="1"/>
    <xf numFmtId="0" fontId="4" fillId="4" borderId="13"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7" borderId="15" xfId="0" applyFont="1" applyFill="1" applyBorder="1" applyAlignment="1">
      <alignment horizontal="right"/>
    </xf>
    <xf numFmtId="9" fontId="4" fillId="10" borderId="32" xfId="0" applyNumberFormat="1" applyFont="1" applyFill="1" applyBorder="1" applyAlignment="1">
      <alignment horizontal="centerContinuous"/>
    </xf>
    <xf numFmtId="9" fontId="4" fillId="10" borderId="34" xfId="0" applyNumberFormat="1" applyFont="1" applyFill="1" applyBorder="1" applyAlignment="1">
      <alignment horizontal="centerContinuous"/>
    </xf>
    <xf numFmtId="0" fontId="3" fillId="3" borderId="23" xfId="0" applyFont="1" applyFill="1" applyBorder="1" applyAlignment="1"/>
    <xf numFmtId="0" fontId="9" fillId="6" borderId="31" xfId="7" applyFont="1" applyFill="1" applyBorder="1" applyAlignment="1" applyProtection="1">
      <alignment horizontal="center" vertical="center" wrapText="1"/>
    </xf>
    <xf numFmtId="3" fontId="3" fillId="3" borderId="0" xfId="1" applyNumberFormat="1" applyFont="1" applyFill="1" applyBorder="1"/>
    <xf numFmtId="3" fontId="4" fillId="5" borderId="12" xfId="1" applyNumberFormat="1" applyFont="1" applyFill="1" applyBorder="1"/>
    <xf numFmtId="3" fontId="3" fillId="3" borderId="0" xfId="0" applyNumberFormat="1" applyFont="1" applyFill="1" applyBorder="1"/>
    <xf numFmtId="3" fontId="3" fillId="5" borderId="13" xfId="0" applyNumberFormat="1" applyFont="1" applyFill="1" applyBorder="1"/>
    <xf numFmtId="3" fontId="4" fillId="5" borderId="13" xfId="1" applyNumberFormat="1" applyFont="1" applyFill="1" applyBorder="1"/>
    <xf numFmtId="3" fontId="4" fillId="5" borderId="14" xfId="0" applyNumberFormat="1" applyFont="1" applyFill="1" applyBorder="1"/>
    <xf numFmtId="0" fontId="0" fillId="3" borderId="2" xfId="0" applyFill="1" applyBorder="1"/>
    <xf numFmtId="9" fontId="4" fillId="5" borderId="2" xfId="2" applyFont="1" applyFill="1" applyBorder="1"/>
    <xf numFmtId="9" fontId="3" fillId="5" borderId="14" xfId="2" applyFont="1" applyFill="1" applyBorder="1"/>
    <xf numFmtId="0" fontId="4" fillId="4" borderId="21" xfId="0" applyFont="1" applyFill="1" applyBorder="1" applyAlignment="1">
      <alignment horizontal="center" vertical="center" wrapText="1"/>
    </xf>
    <xf numFmtId="10" fontId="3" fillId="5" borderId="13" xfId="2" applyNumberFormat="1" applyFont="1" applyFill="1" applyBorder="1"/>
    <xf numFmtId="169" fontId="3" fillId="3" borderId="26" xfId="3" applyNumberFormat="1" applyFont="1" applyFill="1" applyBorder="1"/>
    <xf numFmtId="9" fontId="4" fillId="8" borderId="32" xfId="0" applyNumberFormat="1" applyFont="1" applyFill="1" applyBorder="1" applyAlignment="1">
      <alignment horizontal="center" wrapText="1"/>
    </xf>
    <xf numFmtId="9" fontId="4" fillId="11" borderId="34" xfId="0" applyNumberFormat="1" applyFont="1" applyFill="1" applyBorder="1" applyAlignment="1">
      <alignment horizontal="centerContinuous" wrapText="1"/>
    </xf>
    <xf numFmtId="171" fontId="3" fillId="13" borderId="4" xfId="1" applyNumberFormat="1" applyFont="1" applyFill="1" applyBorder="1"/>
    <xf numFmtId="171" fontId="3" fillId="13" borderId="6" xfId="1" applyNumberFormat="1" applyFont="1" applyFill="1" applyBorder="1"/>
    <xf numFmtId="171" fontId="3" fillId="13" borderId="8" xfId="1" applyNumberFormat="1" applyFont="1" applyFill="1" applyBorder="1"/>
    <xf numFmtId="171" fontId="4" fillId="5" borderId="29" xfId="2" applyNumberFormat="1" applyFont="1" applyFill="1" applyBorder="1"/>
    <xf numFmtId="171" fontId="3" fillId="3" borderId="36" xfId="2" applyNumberFormat="1" applyFont="1" applyFill="1" applyBorder="1"/>
    <xf numFmtId="171" fontId="3" fillId="5" borderId="21" xfId="2" applyNumberFormat="1" applyFont="1" applyFill="1" applyBorder="1"/>
    <xf numFmtId="171" fontId="4" fillId="5" borderId="21" xfId="1" applyNumberFormat="1" applyFont="1" applyFill="1" applyBorder="1"/>
    <xf numFmtId="171" fontId="4" fillId="5" borderId="21" xfId="2" applyNumberFormat="1" applyFont="1" applyFill="1" applyBorder="1"/>
    <xf numFmtId="171" fontId="4" fillId="14" borderId="21" xfId="2" applyNumberFormat="1" applyFont="1" applyFill="1" applyBorder="1"/>
    <xf numFmtId="171" fontId="3" fillId="13" borderId="22" xfId="1" applyNumberFormat="1" applyFont="1" applyFill="1" applyBorder="1"/>
    <xf numFmtId="171" fontId="3" fillId="13" borderId="0" xfId="1" applyNumberFormat="1" applyFont="1" applyFill="1" applyBorder="1"/>
    <xf numFmtId="171" fontId="3" fillId="13" borderId="26" xfId="1" applyNumberFormat="1" applyFont="1" applyFill="1" applyBorder="1"/>
    <xf numFmtId="171" fontId="4" fillId="5" borderId="12" xfId="2" applyNumberFormat="1" applyFont="1" applyFill="1" applyBorder="1"/>
    <xf numFmtId="171" fontId="3" fillId="3" borderId="31" xfId="2" applyNumberFormat="1" applyFont="1" applyFill="1" applyBorder="1"/>
    <xf numFmtId="171" fontId="3" fillId="5" borderId="13" xfId="2" applyNumberFormat="1" applyFont="1" applyFill="1" applyBorder="1"/>
    <xf numFmtId="171" fontId="4" fillId="5" borderId="13" xfId="2" applyNumberFormat="1" applyFont="1" applyFill="1" applyBorder="1"/>
    <xf numFmtId="171" fontId="4" fillId="14" borderId="13" xfId="2" applyNumberFormat="1" applyFont="1" applyFill="1" applyBorder="1"/>
    <xf numFmtId="171" fontId="3" fillId="13" borderId="0" xfId="2" applyNumberFormat="1" applyFont="1" applyFill="1" applyBorder="1"/>
    <xf numFmtId="169" fontId="3" fillId="15" borderId="4" xfId="3" applyNumberFormat="1" applyFont="1" applyFill="1" applyBorder="1"/>
    <xf numFmtId="169" fontId="3" fillId="15" borderId="6" xfId="3" applyNumberFormat="1" applyFont="1" applyFill="1" applyBorder="1"/>
    <xf numFmtId="169" fontId="3" fillId="15" borderId="8" xfId="3" applyNumberFormat="1" applyFont="1" applyFill="1" applyBorder="1"/>
    <xf numFmtId="169" fontId="3" fillId="3" borderId="36" xfId="3" applyNumberFormat="1" applyFont="1" applyFill="1" applyBorder="1"/>
    <xf numFmtId="169" fontId="3" fillId="5" borderId="21" xfId="3" applyNumberFormat="1" applyFont="1" applyFill="1" applyBorder="1"/>
    <xf numFmtId="169" fontId="3" fillId="3" borderId="8" xfId="3" applyNumberFormat="1" applyFont="1" applyFill="1" applyBorder="1"/>
    <xf numFmtId="169" fontId="4" fillId="5" borderId="28" xfId="3" applyNumberFormat="1" applyFont="1" applyFill="1" applyBorder="1"/>
    <xf numFmtId="169" fontId="3" fillId="15" borderId="22" xfId="3" applyNumberFormat="1" applyFont="1" applyFill="1" applyBorder="1"/>
    <xf numFmtId="169" fontId="3" fillId="15" borderId="0" xfId="3" applyNumberFormat="1" applyFont="1" applyFill="1" applyBorder="1"/>
    <xf numFmtId="169" fontId="3" fillId="15" borderId="26" xfId="3" applyNumberFormat="1" applyFont="1" applyFill="1" applyBorder="1"/>
    <xf numFmtId="169" fontId="3" fillId="3" borderId="31" xfId="3" applyNumberFormat="1" applyFont="1" applyFill="1" applyBorder="1"/>
    <xf numFmtId="169" fontId="3" fillId="5" borderId="13" xfId="3" applyNumberFormat="1" applyFont="1" applyFill="1" applyBorder="1"/>
    <xf numFmtId="169" fontId="4" fillId="5" borderId="14" xfId="3" applyNumberFormat="1" applyFont="1" applyFill="1" applyBorder="1"/>
    <xf numFmtId="171" fontId="3" fillId="15" borderId="22" xfId="1" applyNumberFormat="1" applyFont="1" applyFill="1" applyBorder="1"/>
    <xf numFmtId="171" fontId="3" fillId="15" borderId="0" xfId="2" applyNumberFormat="1" applyFont="1" applyFill="1" applyBorder="1"/>
    <xf numFmtId="171" fontId="3" fillId="15" borderId="0" xfId="1" applyNumberFormat="1" applyFont="1" applyFill="1" applyBorder="1"/>
    <xf numFmtId="171" fontId="3" fillId="15" borderId="26" xfId="1" applyNumberFormat="1" applyFont="1" applyFill="1" applyBorder="1"/>
    <xf numFmtId="171" fontId="4" fillId="5" borderId="12" xfId="1" applyNumberFormat="1" applyFont="1" applyFill="1" applyBorder="1"/>
    <xf numFmtId="171" fontId="4" fillId="5" borderId="13" xfId="1" applyNumberFormat="1" applyFont="1" applyFill="1" applyBorder="1"/>
    <xf numFmtId="171" fontId="3" fillId="3" borderId="26" xfId="1" applyNumberFormat="1" applyFont="1" applyFill="1" applyBorder="1"/>
    <xf numFmtId="171" fontId="4" fillId="5" borderId="14" xfId="1" applyNumberFormat="1" applyFont="1" applyFill="1" applyBorder="1"/>
    <xf numFmtId="169" fontId="4" fillId="5" borderId="2" xfId="3" applyNumberFormat="1" applyFont="1" applyFill="1" applyBorder="1"/>
    <xf numFmtId="172" fontId="3" fillId="3" borderId="0" xfId="1" applyNumberFormat="1" applyFont="1" applyFill="1" applyBorder="1"/>
    <xf numFmtId="0" fontId="3" fillId="3" borderId="2" xfId="0" applyFont="1" applyFill="1" applyBorder="1" applyAlignment="1">
      <alignment horizontal="left"/>
    </xf>
    <xf numFmtId="0" fontId="3" fillId="3" borderId="0" xfId="0" applyFont="1" applyFill="1" applyAlignment="1">
      <alignment horizontal="left"/>
    </xf>
    <xf numFmtId="0" fontId="4" fillId="5" borderId="13" xfId="0" applyFont="1" applyFill="1" applyBorder="1" applyAlignment="1">
      <alignment horizontal="left"/>
    </xf>
    <xf numFmtId="0" fontId="4" fillId="5" borderId="12" xfId="0" applyFont="1" applyFill="1" applyBorder="1" applyAlignment="1">
      <alignment horizontal="left"/>
    </xf>
    <xf numFmtId="0" fontId="3" fillId="5" borderId="13" xfId="0" applyFont="1" applyFill="1" applyBorder="1" applyAlignment="1">
      <alignment horizontal="left"/>
    </xf>
    <xf numFmtId="0" fontId="4" fillId="5" borderId="2" xfId="0" applyFont="1" applyFill="1" applyBorder="1" applyAlignment="1">
      <alignment horizontal="left"/>
    </xf>
    <xf numFmtId="0" fontId="3" fillId="5" borderId="14" xfId="0" applyFont="1" applyFill="1" applyBorder="1" applyAlignment="1">
      <alignment horizontal="left"/>
    </xf>
    <xf numFmtId="0" fontId="3" fillId="3" borderId="0" xfId="0" applyFont="1" applyFill="1" applyBorder="1" applyAlignment="1">
      <alignment horizontal="left"/>
    </xf>
    <xf numFmtId="172" fontId="3" fillId="3" borderId="0" xfId="1" applyNumberFormat="1" applyFont="1" applyFill="1"/>
    <xf numFmtId="0" fontId="4" fillId="4" borderId="5" xfId="0" applyFont="1" applyFill="1" applyBorder="1" applyAlignment="1">
      <alignment horizontal="center" vertical="center" wrapText="1"/>
    </xf>
    <xf numFmtId="172" fontId="4" fillId="5" borderId="28" xfId="0" applyNumberFormat="1" applyFont="1" applyFill="1" applyBorder="1"/>
    <xf numFmtId="0" fontId="3" fillId="3" borderId="26" xfId="0" applyFont="1" applyFill="1" applyBorder="1"/>
    <xf numFmtId="0" fontId="4" fillId="3" borderId="2" xfId="0" applyFont="1" applyFill="1" applyBorder="1" applyAlignment="1">
      <alignment horizontal="left"/>
    </xf>
    <xf numFmtId="9" fontId="4" fillId="5" borderId="14" xfId="2" applyFont="1" applyFill="1" applyBorder="1"/>
    <xf numFmtId="0" fontId="15" fillId="3" borderId="33" xfId="0" applyFont="1" applyFill="1" applyBorder="1" applyAlignment="1">
      <alignment horizontal="right"/>
    </xf>
    <xf numFmtId="0" fontId="0" fillId="0" borderId="37" xfId="0" applyBorder="1"/>
    <xf numFmtId="0" fontId="0" fillId="3" borderId="0" xfId="0" applyFill="1" applyBorder="1"/>
    <xf numFmtId="0" fontId="0" fillId="0" borderId="0" xfId="0" applyBorder="1"/>
    <xf numFmtId="9" fontId="5" fillId="3" borderId="9" xfId="0" applyNumberFormat="1" applyFont="1" applyFill="1" applyBorder="1"/>
    <xf numFmtId="0" fontId="4" fillId="4" borderId="26" xfId="0" applyFont="1" applyFill="1" applyBorder="1" applyAlignment="1">
      <alignment horizontal="left" vertical="center" wrapText="1"/>
    </xf>
    <xf numFmtId="0" fontId="4" fillId="4" borderId="2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3" fillId="3" borderId="0" xfId="0" applyFont="1" applyFill="1" applyAlignment="1">
      <alignment vertical="center"/>
    </xf>
    <xf numFmtId="0" fontId="4" fillId="4" borderId="4" xfId="0" applyFont="1" applyFill="1" applyBorder="1" applyAlignment="1">
      <alignment horizontal="center" vertical="center" wrapText="1"/>
    </xf>
    <xf numFmtId="169" fontId="4" fillId="3" borderId="40" xfId="3" applyNumberFormat="1" applyFont="1" applyFill="1" applyBorder="1"/>
    <xf numFmtId="169" fontId="4" fillId="3" borderId="40" xfId="0" applyNumberFormat="1" applyFont="1" applyFill="1" applyBorder="1"/>
    <xf numFmtId="0" fontId="5" fillId="3" borderId="7" xfId="0" applyFont="1" applyFill="1" applyBorder="1"/>
    <xf numFmtId="0" fontId="5" fillId="3" borderId="7" xfId="0" applyFont="1" applyFill="1" applyBorder="1" applyAlignment="1">
      <alignment horizontal="right"/>
    </xf>
    <xf numFmtId="0" fontId="5" fillId="3" borderId="9" xfId="0" applyFont="1" applyFill="1" applyBorder="1"/>
    <xf numFmtId="0" fontId="5" fillId="3" borderId="0" xfId="0" applyFont="1" applyFill="1"/>
    <xf numFmtId="0" fontId="5" fillId="3" borderId="0" xfId="0" applyFont="1" applyFill="1" applyBorder="1"/>
    <xf numFmtId="0" fontId="3" fillId="3" borderId="6" xfId="0" applyFont="1" applyFill="1" applyBorder="1"/>
    <xf numFmtId="0" fontId="4"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3" xfId="0" applyFont="1" applyFill="1" applyBorder="1" applyAlignment="1">
      <alignment vertical="top" wrapText="1"/>
    </xf>
    <xf numFmtId="0" fontId="4" fillId="4" borderId="3" xfId="0" applyFont="1" applyFill="1" applyBorder="1" applyAlignment="1">
      <alignment vertical="top"/>
    </xf>
    <xf numFmtId="0" fontId="4" fillId="4" borderId="11" xfId="0" applyFont="1" applyFill="1" applyBorder="1" applyAlignment="1">
      <alignment horizontal="center" vertical="top" wrapText="1"/>
    </xf>
    <xf numFmtId="0" fontId="4" fillId="4" borderId="21" xfId="0" applyFont="1" applyFill="1" applyBorder="1" applyAlignment="1">
      <alignment wrapText="1"/>
    </xf>
    <xf numFmtId="0" fontId="3" fillId="3" borderId="70" xfId="0" applyFont="1" applyFill="1" applyBorder="1"/>
    <xf numFmtId="0" fontId="3" fillId="3" borderId="37" xfId="0" applyFont="1" applyFill="1" applyBorder="1" applyAlignment="1">
      <alignment horizontal="left" indent="1"/>
    </xf>
    <xf numFmtId="0" fontId="9" fillId="6" borderId="72" xfId="7" applyFont="1" applyFill="1" applyBorder="1" applyAlignment="1" applyProtection="1">
      <alignment horizontal="centerContinuous" vertical="center" wrapText="1"/>
    </xf>
    <xf numFmtId="0" fontId="3" fillId="4" borderId="70" xfId="0" applyFont="1" applyFill="1" applyBorder="1"/>
    <xf numFmtId="0" fontId="4" fillId="5" borderId="73" xfId="0" applyFont="1" applyFill="1" applyBorder="1"/>
    <xf numFmtId="0" fontId="3" fillId="4" borderId="73" xfId="0" applyFont="1" applyFill="1" applyBorder="1"/>
    <xf numFmtId="0" fontId="3" fillId="3" borderId="37" xfId="0" applyFont="1" applyFill="1" applyBorder="1" applyAlignment="1">
      <alignment horizontal="left"/>
    </xf>
    <xf numFmtId="3" fontId="3" fillId="3" borderId="4" xfId="1" applyNumberFormat="1" applyFont="1" applyFill="1" applyBorder="1"/>
    <xf numFmtId="3" fontId="0" fillId="0" borderId="0" xfId="0" applyNumberFormat="1"/>
    <xf numFmtId="179" fontId="3" fillId="3" borderId="0" xfId="0" applyNumberFormat="1" applyFont="1" applyFill="1"/>
    <xf numFmtId="0" fontId="3" fillId="3" borderId="0" xfId="0" applyFont="1" applyFill="1" applyAlignment="1">
      <alignment horizontal="right" indent="1"/>
    </xf>
    <xf numFmtId="182" fontId="3" fillId="3" borderId="0" xfId="1" applyNumberFormat="1" applyFont="1" applyFill="1"/>
    <xf numFmtId="0" fontId="4" fillId="4" borderId="13" xfId="0" applyFont="1" applyFill="1" applyBorder="1" applyAlignment="1">
      <alignment horizontal="center" vertical="center" wrapText="1"/>
    </xf>
    <xf numFmtId="3" fontId="3" fillId="3" borderId="0" xfId="0" applyNumberFormat="1" applyFont="1" applyFill="1" applyBorder="1" applyAlignment="1">
      <alignment horizontal="right" indent="1"/>
    </xf>
    <xf numFmtId="0" fontId="3" fillId="3" borderId="0" xfId="0" applyFont="1" applyFill="1" applyBorder="1" applyAlignment="1">
      <alignment horizontal="right" indent="1"/>
    </xf>
    <xf numFmtId="0" fontId="3" fillId="0" borderId="0" xfId="0" applyFont="1" applyFill="1" applyBorder="1"/>
    <xf numFmtId="7" fontId="3" fillId="3" borderId="0" xfId="1" applyNumberFormat="1" applyFont="1" applyFill="1" applyBorder="1"/>
    <xf numFmtId="169" fontId="4" fillId="5" borderId="30" xfId="0" applyNumberFormat="1" applyFont="1" applyFill="1" applyBorder="1"/>
    <xf numFmtId="9" fontId="3" fillId="3" borderId="6" xfId="2" applyFont="1" applyFill="1" applyBorder="1" applyAlignment="1">
      <alignment horizontal="center"/>
    </xf>
    <xf numFmtId="0" fontId="4" fillId="5" borderId="29" xfId="0" applyFont="1" applyFill="1" applyBorder="1" applyAlignment="1">
      <alignment horizontal="center"/>
    </xf>
    <xf numFmtId="9" fontId="4" fillId="5" borderId="12" xfId="2" applyFont="1" applyFill="1" applyBorder="1" applyAlignment="1">
      <alignment horizontal="center"/>
    </xf>
    <xf numFmtId="9" fontId="3" fillId="3" borderId="0" xfId="2" applyFont="1" applyFill="1" applyBorder="1" applyAlignment="1">
      <alignment horizontal="center"/>
    </xf>
    <xf numFmtId="0" fontId="3" fillId="5" borderId="21" xfId="0" applyFont="1" applyFill="1" applyBorder="1" applyAlignment="1">
      <alignment horizontal="center"/>
    </xf>
    <xf numFmtId="9" fontId="3" fillId="5" borderId="13" xfId="2" applyFont="1" applyFill="1" applyBorder="1" applyAlignment="1">
      <alignment horizontal="center"/>
    </xf>
    <xf numFmtId="9" fontId="4" fillId="5" borderId="13" xfId="2" applyFont="1" applyFill="1" applyBorder="1" applyAlignment="1">
      <alignment horizontal="center"/>
    </xf>
    <xf numFmtId="168" fontId="3" fillId="3" borderId="7" xfId="2" applyNumberFormat="1" applyFont="1" applyFill="1" applyBorder="1" applyAlignment="1">
      <alignment horizontal="center"/>
    </xf>
    <xf numFmtId="0" fontId="4" fillId="5" borderId="18" xfId="0" applyFont="1" applyFill="1" applyBorder="1" applyAlignment="1">
      <alignment horizontal="center"/>
    </xf>
    <xf numFmtId="9" fontId="3" fillId="3" borderId="7" xfId="2" applyFont="1" applyFill="1" applyBorder="1" applyAlignment="1">
      <alignment horizontal="center"/>
    </xf>
    <xf numFmtId="0" fontId="3" fillId="5" borderId="15" xfId="0" applyFont="1" applyFill="1" applyBorder="1" applyAlignment="1">
      <alignment horizontal="center"/>
    </xf>
    <xf numFmtId="183" fontId="3" fillId="3" borderId="0" xfId="1" applyNumberFormat="1" applyFont="1" applyFill="1" applyBorder="1"/>
    <xf numFmtId="183" fontId="3" fillId="12" borderId="0" xfId="1" applyNumberFormat="1" applyFont="1" applyFill="1" applyBorder="1"/>
    <xf numFmtId="183" fontId="4" fillId="5" borderId="12" xfId="1" applyNumberFormat="1" applyFont="1" applyFill="1" applyBorder="1"/>
    <xf numFmtId="183" fontId="4" fillId="5" borderId="13" xfId="1" applyNumberFormat="1" applyFont="1" applyFill="1" applyBorder="1"/>
    <xf numFmtId="183" fontId="4" fillId="5" borderId="2" xfId="1" applyNumberFormat="1" applyFont="1" applyFill="1" applyBorder="1"/>
    <xf numFmtId="183" fontId="3" fillId="3" borderId="0" xfId="1" applyNumberFormat="1" applyFont="1" applyFill="1"/>
    <xf numFmtId="183" fontId="4" fillId="5" borderId="14" xfId="1" applyNumberFormat="1" applyFont="1" applyFill="1" applyBorder="1"/>
    <xf numFmtId="183" fontId="3" fillId="5" borderId="13" xfId="1" applyNumberFormat="1" applyFont="1" applyFill="1" applyBorder="1"/>
    <xf numFmtId="183" fontId="3" fillId="3" borderId="0" xfId="0" applyNumberFormat="1" applyFont="1" applyFill="1" applyBorder="1"/>
    <xf numFmtId="183" fontId="3" fillId="4" borderId="13" xfId="0" applyNumberFormat="1" applyFont="1" applyFill="1" applyBorder="1"/>
    <xf numFmtId="183" fontId="3" fillId="5" borderId="0" xfId="0" applyNumberFormat="1" applyFont="1" applyFill="1" applyBorder="1"/>
    <xf numFmtId="183" fontId="3" fillId="5" borderId="26" xfId="0" applyNumberFormat="1" applyFont="1" applyFill="1" applyBorder="1"/>
    <xf numFmtId="183" fontId="3" fillId="13" borderId="22" xfId="1" applyNumberFormat="1" applyFont="1" applyFill="1" applyBorder="1"/>
    <xf numFmtId="183" fontId="3" fillId="13" borderId="0" xfId="2" applyNumberFormat="1" applyFont="1" applyFill="1" applyBorder="1"/>
    <xf numFmtId="183" fontId="3" fillId="13" borderId="0" xfId="1" applyNumberFormat="1" applyFont="1" applyFill="1" applyBorder="1"/>
    <xf numFmtId="183" fontId="3" fillId="13" borderId="26" xfId="1" applyNumberFormat="1" applyFont="1" applyFill="1" applyBorder="1"/>
    <xf numFmtId="183" fontId="4" fillId="5" borderId="12" xfId="2" applyNumberFormat="1" applyFont="1" applyFill="1" applyBorder="1"/>
    <xf numFmtId="183" fontId="3" fillId="3" borderId="31" xfId="2" applyNumberFormat="1" applyFont="1" applyFill="1" applyBorder="1"/>
    <xf numFmtId="183" fontId="3" fillId="5" borderId="13" xfId="2" applyNumberFormat="1" applyFont="1" applyFill="1" applyBorder="1"/>
    <xf numFmtId="183" fontId="4" fillId="5" borderId="13" xfId="2" applyNumberFormat="1" applyFont="1" applyFill="1" applyBorder="1"/>
    <xf numFmtId="183" fontId="4" fillId="14" borderId="13" xfId="2" applyNumberFormat="1" applyFont="1" applyFill="1" applyBorder="1"/>
    <xf numFmtId="180" fontId="3" fillId="15" borderId="22" xfId="1" applyNumberFormat="1" applyFont="1" applyFill="1" applyBorder="1"/>
    <xf numFmtId="180" fontId="3" fillId="15" borderId="0" xfId="2" applyNumberFormat="1" applyFont="1" applyFill="1" applyBorder="1"/>
    <xf numFmtId="180" fontId="3" fillId="15" borderId="0" xfId="1" applyNumberFormat="1" applyFont="1" applyFill="1" applyBorder="1"/>
    <xf numFmtId="180" fontId="3" fillId="15" borderId="26" xfId="1" applyNumberFormat="1" applyFont="1" applyFill="1" applyBorder="1"/>
    <xf numFmtId="180" fontId="4" fillId="5" borderId="12" xfId="1" applyNumberFormat="1" applyFont="1" applyFill="1" applyBorder="1"/>
    <xf numFmtId="180" fontId="3" fillId="3" borderId="31" xfId="2" applyNumberFormat="1" applyFont="1" applyFill="1" applyBorder="1"/>
    <xf numFmtId="180" fontId="3" fillId="5" borderId="13" xfId="2" applyNumberFormat="1" applyFont="1" applyFill="1" applyBorder="1"/>
    <xf numFmtId="180" fontId="4" fillId="5" borderId="13" xfId="1" applyNumberFormat="1" applyFont="1" applyFill="1" applyBorder="1"/>
    <xf numFmtId="180" fontId="3" fillId="3" borderId="0" xfId="1" applyNumberFormat="1" applyFont="1" applyFill="1" applyBorder="1"/>
    <xf numFmtId="180" fontId="4" fillId="5" borderId="14" xfId="1" applyNumberFormat="1" applyFont="1" applyFill="1" applyBorder="1"/>
    <xf numFmtId="180" fontId="3" fillId="5" borderId="13" xfId="1" applyNumberFormat="1" applyFont="1" applyFill="1" applyBorder="1"/>
    <xf numFmtId="180" fontId="3" fillId="16" borderId="0" xfId="1" applyNumberFormat="1" applyFont="1" applyFill="1" applyBorder="1"/>
    <xf numFmtId="180" fontId="3" fillId="3" borderId="0" xfId="0" applyNumberFormat="1" applyFont="1" applyFill="1" applyBorder="1"/>
    <xf numFmtId="180" fontId="3" fillId="4" borderId="13" xfId="0" applyNumberFormat="1" applyFont="1" applyFill="1" applyBorder="1"/>
    <xf numFmtId="180" fontId="3" fillId="5" borderId="0" xfId="0" applyNumberFormat="1" applyFont="1" applyFill="1" applyBorder="1"/>
    <xf numFmtId="180" fontId="3" fillId="5" borderId="26" xfId="0" applyNumberFormat="1" applyFont="1" applyFill="1" applyBorder="1"/>
    <xf numFmtId="183" fontId="7" fillId="5" borderId="13" xfId="1" applyNumberFormat="1" applyFont="1" applyFill="1" applyBorder="1"/>
    <xf numFmtId="7" fontId="3" fillId="3" borderId="0" xfId="1" applyNumberFormat="1" applyFont="1" applyFill="1" applyBorder="1" applyAlignment="1">
      <alignment horizontal="right"/>
    </xf>
    <xf numFmtId="0" fontId="0" fillId="0" borderId="2" xfId="0" applyFill="1" applyBorder="1"/>
    <xf numFmtId="170" fontId="3" fillId="3" borderId="7" xfId="1" applyNumberFormat="1" applyFont="1" applyFill="1" applyBorder="1" applyAlignment="1">
      <alignment horizontal="right"/>
    </xf>
    <xf numFmtId="170" fontId="4" fillId="5" borderId="18" xfId="1" applyNumberFormat="1" applyFont="1" applyFill="1" applyBorder="1" applyAlignment="1">
      <alignment horizontal="right"/>
    </xf>
    <xf numFmtId="170" fontId="3" fillId="3" borderId="7" xfId="0" applyNumberFormat="1" applyFont="1" applyFill="1" applyBorder="1" applyAlignment="1">
      <alignment horizontal="right"/>
    </xf>
    <xf numFmtId="170" fontId="3" fillId="5" borderId="15" xfId="0" applyNumberFormat="1" applyFont="1" applyFill="1" applyBorder="1" applyAlignment="1">
      <alignment horizontal="right"/>
    </xf>
    <xf numFmtId="170" fontId="4" fillId="5" borderId="15" xfId="1" applyNumberFormat="1" applyFont="1" applyFill="1" applyBorder="1" applyAlignment="1">
      <alignment horizontal="right"/>
    </xf>
    <xf numFmtId="170" fontId="3" fillId="48" borderId="0" xfId="1" applyNumberFormat="1" applyFont="1" applyFill="1" applyBorder="1"/>
    <xf numFmtId="170" fontId="4" fillId="48" borderId="12" xfId="1" applyNumberFormat="1" applyFont="1" applyFill="1" applyBorder="1"/>
    <xf numFmtId="170" fontId="4" fillId="48" borderId="13" xfId="1" applyNumberFormat="1" applyFont="1" applyFill="1" applyBorder="1"/>
    <xf numFmtId="170" fontId="4" fillId="48" borderId="14" xfId="0" applyNumberFormat="1" applyFont="1" applyFill="1" applyBorder="1"/>
    <xf numFmtId="0" fontId="4" fillId="3" borderId="25" xfId="0" applyFont="1" applyFill="1" applyBorder="1"/>
    <xf numFmtId="0" fontId="0" fillId="0" borderId="0" xfId="0" applyFill="1"/>
    <xf numFmtId="0" fontId="3" fillId="3" borderId="0" xfId="0" applyFont="1" applyFill="1" applyAlignment="1">
      <alignment horizontal="left" indent="1"/>
    </xf>
    <xf numFmtId="181" fontId="5" fillId="0" borderId="7" xfId="3" applyNumberFormat="1" applyFont="1" applyFill="1" applyBorder="1"/>
    <xf numFmtId="180" fontId="5" fillId="0" borderId="7" xfId="1" applyNumberFormat="1" applyFont="1" applyFill="1" applyBorder="1"/>
    <xf numFmtId="168" fontId="5" fillId="3" borderId="7" xfId="2" applyNumberFormat="1" applyFont="1" applyFill="1" applyBorder="1"/>
    <xf numFmtId="0" fontId="74" fillId="3" borderId="6" xfId="0" applyFont="1" applyFill="1" applyBorder="1" applyAlignment="1">
      <alignment horizontal="left" indent="1"/>
    </xf>
    <xf numFmtId="0" fontId="74" fillId="3" borderId="0" xfId="0" applyFont="1" applyFill="1" applyBorder="1" applyAlignment="1">
      <alignment horizontal="left" indent="1"/>
    </xf>
    <xf numFmtId="0" fontId="74" fillId="3" borderId="0" xfId="0" applyFont="1" applyFill="1" applyAlignment="1">
      <alignment horizontal="left" indent="1"/>
    </xf>
    <xf numFmtId="169" fontId="6" fillId="0" borderId="11" xfId="3" applyNumberFormat="1" applyFont="1" applyFill="1" applyBorder="1" applyAlignment="1">
      <alignment horizontal="right"/>
    </xf>
    <xf numFmtId="169" fontId="6" fillId="0" borderId="10" xfId="3" applyNumberFormat="1" applyFont="1" applyFill="1" applyBorder="1" applyAlignment="1">
      <alignment horizontal="right"/>
    </xf>
    <xf numFmtId="0" fontId="4" fillId="4" borderId="28" xfId="0" applyFont="1" applyFill="1" applyBorder="1" applyAlignment="1">
      <alignment vertical="center"/>
    </xf>
    <xf numFmtId="0" fontId="4" fillId="4" borderId="17" xfId="0" applyFont="1" applyFill="1" applyBorder="1" applyAlignment="1">
      <alignment horizontal="center" vertical="center"/>
    </xf>
    <xf numFmtId="0" fontId="4" fillId="4" borderId="28" xfId="0" applyFont="1" applyFill="1" applyBorder="1"/>
    <xf numFmtId="0" fontId="17" fillId="4" borderId="17" xfId="0" applyFont="1" applyFill="1" applyBorder="1" applyAlignment="1">
      <alignment horizontal="center"/>
    </xf>
    <xf numFmtId="0" fontId="7" fillId="4" borderId="28" xfId="0" applyFont="1" applyFill="1" applyBorder="1"/>
    <xf numFmtId="0" fontId="4" fillId="4" borderId="17" xfId="0" applyFont="1" applyFill="1" applyBorder="1" applyAlignment="1">
      <alignment horizontal="center"/>
    </xf>
    <xf numFmtId="169" fontId="5" fillId="0" borderId="11" xfId="3" applyNumberFormat="1" applyFont="1" applyFill="1" applyBorder="1"/>
    <xf numFmtId="169" fontId="5" fillId="0" borderId="10" xfId="3" applyNumberFormat="1" applyFont="1" applyFill="1" applyBorder="1"/>
    <xf numFmtId="0" fontId="3" fillId="3" borderId="37" xfId="0" applyFont="1" applyFill="1" applyBorder="1"/>
    <xf numFmtId="0" fontId="9" fillId="6" borderId="75" xfId="7" applyFont="1" applyFill="1" applyBorder="1" applyAlignment="1" applyProtection="1">
      <alignment horizontal="centerContinuous" vertical="center" wrapText="1"/>
    </xf>
    <xf numFmtId="0" fontId="3" fillId="4" borderId="76" xfId="0" applyFont="1" applyFill="1" applyBorder="1" applyAlignment="1">
      <alignment horizontal="center"/>
    </xf>
    <xf numFmtId="167" fontId="6" fillId="3" borderId="77" xfId="1" applyNumberFormat="1" applyFont="1" applyFill="1" applyBorder="1"/>
    <xf numFmtId="9" fontId="6" fillId="3" borderId="77" xfId="1" applyNumberFormat="1" applyFont="1" applyFill="1" applyBorder="1"/>
    <xf numFmtId="0" fontId="4" fillId="5" borderId="73" xfId="0" applyFont="1" applyFill="1" applyBorder="1" applyAlignment="1">
      <alignment horizontal="left"/>
    </xf>
    <xf numFmtId="168" fontId="6" fillId="3" borderId="77" xfId="1" applyNumberFormat="1" applyFont="1" applyFill="1" applyBorder="1"/>
    <xf numFmtId="0" fontId="4" fillId="5" borderId="79" xfId="0" applyFont="1" applyFill="1" applyBorder="1" applyAlignment="1">
      <alignment horizontal="left"/>
    </xf>
    <xf numFmtId="0" fontId="3" fillId="4" borderId="81" xfId="0" applyFont="1" applyFill="1" applyBorder="1" applyAlignment="1">
      <alignment horizontal="center"/>
    </xf>
    <xf numFmtId="0" fontId="3" fillId="3" borderId="70" xfId="0" applyFont="1" applyFill="1" applyBorder="1" applyAlignment="1">
      <alignment horizontal="left" indent="2"/>
    </xf>
    <xf numFmtId="9" fontId="6" fillId="3" borderId="81" xfId="2" applyFont="1" applyFill="1" applyBorder="1"/>
    <xf numFmtId="0" fontId="3" fillId="3" borderId="71" xfId="0" applyFont="1" applyFill="1" applyBorder="1"/>
    <xf numFmtId="0" fontId="4" fillId="5" borderId="38" xfId="0" applyFont="1" applyFill="1" applyBorder="1"/>
    <xf numFmtId="0" fontId="3" fillId="4" borderId="73" xfId="0" applyFont="1" applyFill="1" applyBorder="1" applyAlignment="1">
      <alignment wrapText="1"/>
    </xf>
    <xf numFmtId="0" fontId="74" fillId="0" borderId="0" xfId="0" applyFont="1" applyFill="1" applyAlignment="1">
      <alignment horizontal="left" indent="1"/>
    </xf>
    <xf numFmtId="180" fontId="6" fillId="3" borderId="5" xfId="1" applyNumberFormat="1" applyFont="1" applyFill="1" applyBorder="1"/>
    <xf numFmtId="0" fontId="0" fillId="0" borderId="0" xfId="0" applyAlignment="1">
      <alignment horizontal="left"/>
    </xf>
    <xf numFmtId="0" fontId="0" fillId="0" borderId="0" xfId="0" applyAlignment="1">
      <alignment horizontal="left" indent="1"/>
    </xf>
    <xf numFmtId="0" fontId="3" fillId="4" borderId="83" xfId="0" applyFont="1" applyFill="1" applyBorder="1" applyAlignment="1">
      <alignment horizontal="center" vertical="center" wrapText="1"/>
    </xf>
    <xf numFmtId="180" fontId="6" fillId="3" borderId="22" xfId="1" applyNumberFormat="1" applyFont="1" applyFill="1" applyBorder="1"/>
    <xf numFmtId="3" fontId="3" fillId="0" borderId="0" xfId="0" applyNumberFormat="1" applyFont="1" applyFill="1"/>
    <xf numFmtId="168" fontId="3" fillId="3" borderId="7" xfId="1" applyNumberFormat="1" applyFont="1" applyFill="1" applyBorder="1"/>
    <xf numFmtId="168" fontId="4" fillId="5" borderId="18" xfId="1" applyNumberFormat="1" applyFont="1" applyFill="1" applyBorder="1"/>
    <xf numFmtId="168" fontId="3" fillId="3" borderId="7" xfId="0" applyNumberFormat="1" applyFont="1" applyFill="1" applyBorder="1"/>
    <xf numFmtId="168" fontId="3" fillId="5" borderId="15" xfId="0" applyNumberFormat="1" applyFont="1" applyFill="1" applyBorder="1"/>
    <xf numFmtId="168" fontId="4" fillId="5" borderId="15" xfId="1" applyNumberFormat="1" applyFont="1" applyFill="1" applyBorder="1"/>
    <xf numFmtId="168" fontId="4" fillId="5" borderId="17" xfId="0" applyNumberFormat="1" applyFont="1" applyFill="1" applyBorder="1"/>
    <xf numFmtId="0" fontId="74" fillId="3" borderId="0" xfId="0" applyFont="1" applyFill="1" applyBorder="1" applyAlignment="1">
      <alignment horizontal="left" indent="1"/>
    </xf>
    <xf numFmtId="0" fontId="4" fillId="0" borderId="0" xfId="0" applyFont="1" applyFill="1" applyBorder="1"/>
    <xf numFmtId="167" fontId="7" fillId="0" borderId="0" xfId="1" applyNumberFormat="1" applyFont="1" applyFill="1" applyBorder="1"/>
    <xf numFmtId="168" fontId="3" fillId="3" borderId="22" xfId="2" applyNumberFormat="1" applyFont="1" applyFill="1" applyBorder="1" applyAlignment="1">
      <alignment horizontal="center"/>
    </xf>
    <xf numFmtId="0" fontId="3" fillId="0" borderId="37" xfId="0" applyFont="1" applyFill="1" applyBorder="1"/>
    <xf numFmtId="0" fontId="3" fillId="3" borderId="38" xfId="0" applyFont="1" applyFill="1" applyBorder="1"/>
    <xf numFmtId="0" fontId="74" fillId="3" borderId="0" xfId="0" applyFont="1" applyFill="1" applyBorder="1" applyAlignment="1">
      <alignment horizontal="left" indent="1"/>
    </xf>
    <xf numFmtId="0" fontId="74" fillId="0" borderId="0" xfId="0" applyFont="1" applyFill="1" applyBorder="1" applyAlignment="1"/>
    <xf numFmtId="0" fontId="76" fillId="3" borderId="0" xfId="0" applyFont="1" applyFill="1" applyBorder="1" applyAlignment="1">
      <alignment horizontal="center"/>
    </xf>
    <xf numFmtId="168" fontId="76" fillId="3" borderId="0" xfId="2" applyNumberFormat="1" applyFont="1" applyFill="1" applyBorder="1" applyAlignment="1">
      <alignment horizontal="center"/>
    </xf>
    <xf numFmtId="9" fontId="76" fillId="3" borderId="0" xfId="2" applyFont="1" applyFill="1" applyBorder="1" applyAlignment="1">
      <alignment horizontal="center"/>
    </xf>
    <xf numFmtId="0" fontId="4" fillId="5" borderId="79" xfId="0" applyFont="1" applyFill="1" applyBorder="1"/>
    <xf numFmtId="182" fontId="6" fillId="0" borderId="0" xfId="1" applyNumberFormat="1" applyFont="1" applyFill="1" applyBorder="1"/>
    <xf numFmtId="180" fontId="6" fillId="3" borderId="84" xfId="1" applyNumberFormat="1" applyFont="1" applyFill="1" applyBorder="1"/>
    <xf numFmtId="0" fontId="4" fillId="4" borderId="39" xfId="0" applyFont="1" applyFill="1" applyBorder="1"/>
    <xf numFmtId="167" fontId="7" fillId="4" borderId="85" xfId="1" applyNumberFormat="1" applyFont="1" applyFill="1" applyBorder="1"/>
    <xf numFmtId="168" fontId="3" fillId="0" borderId="0" xfId="2" applyNumberFormat="1" applyFont="1" applyFill="1"/>
    <xf numFmtId="165" fontId="3" fillId="0" borderId="0" xfId="1" applyFont="1" applyFill="1"/>
    <xf numFmtId="180" fontId="3" fillId="0" borderId="0" xfId="0" applyNumberFormat="1" applyFont="1" applyFill="1"/>
    <xf numFmtId="0" fontId="3" fillId="0" borderId="0" xfId="0" applyFont="1" applyFill="1" applyAlignment="1">
      <alignment vertical="top" wrapText="1"/>
    </xf>
    <xf numFmtId="0" fontId="3" fillId="3" borderId="6" xfId="0" applyFont="1" applyFill="1" applyBorder="1" applyAlignment="1">
      <alignment horizontal="left" indent="1"/>
    </xf>
    <xf numFmtId="0" fontId="3" fillId="3" borderId="8" xfId="0" applyFont="1" applyFill="1" applyBorder="1" applyAlignment="1">
      <alignment horizontal="left" indent="1"/>
    </xf>
    <xf numFmtId="0" fontId="3" fillId="3" borderId="6" xfId="0" applyFont="1" applyFill="1" applyBorder="1" applyAlignment="1">
      <alignment horizontal="left" wrapText="1" indent="1"/>
    </xf>
    <xf numFmtId="0" fontId="6" fillId="3" borderId="8" xfId="0" applyFont="1" applyFill="1" applyBorder="1" applyAlignment="1">
      <alignment horizontal="left" indent="1"/>
    </xf>
    <xf numFmtId="0" fontId="6" fillId="3" borderId="6" xfId="0" applyFont="1" applyFill="1" applyBorder="1" applyAlignment="1">
      <alignment horizontal="left" wrapText="1" indent="1"/>
    </xf>
    <xf numFmtId="0" fontId="6" fillId="3" borderId="8" xfId="0" applyFont="1" applyFill="1" applyBorder="1" applyAlignment="1">
      <alignment horizontal="left" wrapText="1" indent="1"/>
    </xf>
    <xf numFmtId="0" fontId="4" fillId="0" borderId="6" xfId="0" applyFont="1" applyFill="1" applyBorder="1"/>
    <xf numFmtId="167" fontId="7" fillId="0" borderId="7" xfId="1" applyNumberFormat="1" applyFont="1" applyFill="1" applyBorder="1"/>
    <xf numFmtId="0" fontId="3" fillId="0" borderId="6" xfId="0" applyFont="1" applyFill="1" applyBorder="1" applyAlignment="1">
      <alignment horizontal="left" indent="1"/>
    </xf>
    <xf numFmtId="181" fontId="5" fillId="0" borderId="9" xfId="3" applyNumberFormat="1" applyFont="1" applyFill="1" applyBorder="1"/>
    <xf numFmtId="180" fontId="6" fillId="3" borderId="77" xfId="1" applyNumberFormat="1" applyFont="1" applyFill="1" applyBorder="1"/>
    <xf numFmtId="180" fontId="6" fillId="3" borderId="78" xfId="1" applyNumberFormat="1" applyFont="1" applyFill="1" applyBorder="1"/>
    <xf numFmtId="180" fontId="7" fillId="5" borderId="76" xfId="1" applyNumberFormat="1" applyFont="1" applyFill="1" applyBorder="1"/>
    <xf numFmtId="180" fontId="7" fillId="5" borderId="80" xfId="1" applyNumberFormat="1" applyFont="1" applyFill="1" applyBorder="1"/>
    <xf numFmtId="180" fontId="6" fillId="3" borderId="81" xfId="1" applyNumberFormat="1" applyFont="1" applyFill="1" applyBorder="1"/>
    <xf numFmtId="180" fontId="7" fillId="5" borderId="82" xfId="1" applyNumberFormat="1" applyFont="1" applyFill="1" applyBorder="1"/>
    <xf numFmtId="0" fontId="0" fillId="0" borderId="0" xfId="0" applyNumberFormat="1"/>
    <xf numFmtId="0" fontId="77" fillId="3" borderId="2" xfId="0" applyFont="1" applyFill="1" applyBorder="1"/>
    <xf numFmtId="0" fontId="3" fillId="0" borderId="0" xfId="0" applyFont="1" applyBorder="1" applyAlignment="1">
      <alignment vertical="top" wrapText="1"/>
    </xf>
    <xf numFmtId="168" fontId="0" fillId="0" borderId="0" xfId="2" applyNumberFormat="1" applyFont="1"/>
    <xf numFmtId="0" fontId="3" fillId="3" borderId="0" xfId="0" applyFont="1" applyFill="1" applyAlignment="1">
      <alignment horizontal="center"/>
    </xf>
    <xf numFmtId="1" fontId="3" fillId="3" borderId="0" xfId="0" applyNumberFormat="1" applyFont="1" applyFill="1" applyAlignment="1">
      <alignment horizontal="center"/>
    </xf>
    <xf numFmtId="0" fontId="3" fillId="3" borderId="0" xfId="0" applyNumberFormat="1" applyFont="1" applyFill="1" applyBorder="1" applyAlignment="1">
      <alignment horizontal="right" indent="1"/>
    </xf>
    <xf numFmtId="168" fontId="3" fillId="3" borderId="0" xfId="2" applyNumberFormat="1" applyFont="1" applyFill="1" applyBorder="1" applyAlignment="1">
      <alignment horizontal="right" indent="1"/>
    </xf>
    <xf numFmtId="0" fontId="0" fillId="0" borderId="0" xfId="0" applyAlignment="1">
      <alignment horizontal="left" indent="2"/>
    </xf>
    <xf numFmtId="10" fontId="5" fillId="0" borderId="7" xfId="0" applyNumberFormat="1" applyFont="1" applyFill="1" applyBorder="1"/>
    <xf numFmtId="0" fontId="74" fillId="0" borderId="0" xfId="0" applyFont="1" applyFill="1"/>
    <xf numFmtId="5" fontId="3" fillId="3" borderId="0" xfId="1" applyNumberFormat="1" applyFont="1" applyFill="1" applyBorder="1" applyAlignment="1">
      <alignment horizontal="right"/>
    </xf>
    <xf numFmtId="7" fontId="0" fillId="0" borderId="0" xfId="0" applyNumberFormat="1"/>
    <xf numFmtId="169" fontId="3" fillId="3" borderId="0" xfId="0" applyNumberFormat="1" applyFont="1" applyFill="1"/>
    <xf numFmtId="44" fontId="0" fillId="0" borderId="0" xfId="0" applyNumberFormat="1"/>
    <xf numFmtId="9" fontId="0" fillId="0" borderId="0" xfId="0" applyNumberFormat="1"/>
    <xf numFmtId="184" fontId="0" fillId="0" borderId="0" xfId="0" applyNumberFormat="1"/>
    <xf numFmtId="9" fontId="0" fillId="0" borderId="0" xfId="2" applyFont="1"/>
    <xf numFmtId="169" fontId="0" fillId="0" borderId="0" xfId="0" applyNumberFormat="1"/>
    <xf numFmtId="3" fontId="4" fillId="5" borderId="12" xfId="0" applyNumberFormat="1" applyFont="1" applyFill="1" applyBorder="1"/>
    <xf numFmtId="9" fontId="4" fillId="5" borderId="12" xfId="2" applyNumberFormat="1" applyFont="1" applyFill="1" applyBorder="1"/>
    <xf numFmtId="172" fontId="0" fillId="0" borderId="0" xfId="0" applyNumberFormat="1"/>
    <xf numFmtId="0" fontId="0" fillId="0" borderId="0" xfId="0" applyAlignment="1">
      <alignment wrapText="1"/>
    </xf>
    <xf numFmtId="0" fontId="74" fillId="3" borderId="0" xfId="0" applyFont="1" applyFill="1" applyBorder="1" applyAlignment="1">
      <alignment horizontal="left" indent="1"/>
    </xf>
    <xf numFmtId="0" fontId="0" fillId="0" borderId="0" xfId="0" applyFill="1" applyBorder="1"/>
    <xf numFmtId="0" fontId="8" fillId="0" borderId="0" xfId="0" applyFont="1" applyFill="1" applyBorder="1" applyAlignment="1">
      <alignment horizontal="left" indent="1"/>
    </xf>
    <xf numFmtId="0" fontId="78" fillId="0" borderId="26" xfId="0" applyFont="1" applyBorder="1"/>
    <xf numFmtId="0" fontId="78" fillId="49" borderId="26" xfId="0" applyFont="1" applyFill="1" applyBorder="1"/>
    <xf numFmtId="167" fontId="6" fillId="3" borderId="0" xfId="1" applyNumberFormat="1" applyFont="1" applyFill="1" applyBorder="1"/>
    <xf numFmtId="0" fontId="74" fillId="0" borderId="0" xfId="0" applyFont="1" applyFill="1" applyBorder="1" applyAlignment="1">
      <alignment horizontal="left" indent="1"/>
    </xf>
    <xf numFmtId="9" fontId="5" fillId="0" borderId="7" xfId="0" applyNumberFormat="1" applyFont="1" applyFill="1" applyBorder="1"/>
    <xf numFmtId="0" fontId="4" fillId="4" borderId="4" xfId="0" applyFont="1" applyFill="1" applyBorder="1"/>
    <xf numFmtId="0" fontId="17" fillId="4" borderId="5" xfId="0" applyFont="1" applyFill="1" applyBorder="1" applyAlignment="1">
      <alignment horizontal="center"/>
    </xf>
    <xf numFmtId="0" fontId="3" fillId="3" borderId="4" xfId="0" applyFont="1" applyFill="1" applyBorder="1" applyAlignment="1">
      <alignment horizontal="left" indent="1"/>
    </xf>
    <xf numFmtId="181" fontId="5" fillId="0" borderId="5" xfId="3" applyNumberFormat="1" applyFont="1" applyFill="1" applyBorder="1"/>
    <xf numFmtId="0" fontId="4" fillId="5" borderId="32" xfId="0" applyFont="1" applyFill="1" applyBorder="1"/>
    <xf numFmtId="185" fontId="7" fillId="5" borderId="33" xfId="1" applyNumberFormat="1" applyFont="1" applyFill="1" applyBorder="1"/>
    <xf numFmtId="185" fontId="6" fillId="3" borderId="77" xfId="1" applyNumberFormat="1" applyFont="1" applyFill="1" applyBorder="1"/>
    <xf numFmtId="5" fontId="3" fillId="3" borderId="0" xfId="1" applyNumberFormat="1" applyFont="1" applyFill="1" applyBorder="1"/>
    <xf numFmtId="0" fontId="74" fillId="3" borderId="0" xfId="0" applyFont="1" applyFill="1" applyBorder="1" applyAlignment="1">
      <alignment horizontal="left" indent="1"/>
    </xf>
    <xf numFmtId="185" fontId="3" fillId="12" borderId="0" xfId="1" applyNumberFormat="1" applyFont="1" applyFill="1" applyBorder="1"/>
    <xf numFmtId="185" fontId="3" fillId="15" borderId="0" xfId="1" applyNumberFormat="1" applyFont="1" applyFill="1" applyBorder="1"/>
    <xf numFmtId="185" fontId="3" fillId="3" borderId="0" xfId="1" applyNumberFormat="1" applyFont="1" applyFill="1" applyBorder="1"/>
    <xf numFmtId="185" fontId="4" fillId="5" borderId="13" xfId="1" applyNumberFormat="1" applyFont="1" applyFill="1" applyBorder="1"/>
    <xf numFmtId="185" fontId="4" fillId="5" borderId="2" xfId="1" applyNumberFormat="1" applyFont="1" applyFill="1" applyBorder="1"/>
    <xf numFmtId="185" fontId="4" fillId="5" borderId="14" xfId="1" applyNumberFormat="1" applyFont="1" applyFill="1" applyBorder="1"/>
    <xf numFmtId="168" fontId="3" fillId="13" borderId="22" xfId="2" applyNumberFormat="1" applyFont="1" applyFill="1" applyBorder="1"/>
    <xf numFmtId="168" fontId="3" fillId="13" borderId="0" xfId="2" applyNumberFormat="1" applyFont="1" applyFill="1" applyBorder="1"/>
    <xf numFmtId="168" fontId="3" fillId="13" borderId="26" xfId="2" applyNumberFormat="1" applyFont="1" applyFill="1" applyBorder="1"/>
    <xf numFmtId="168" fontId="4" fillId="14" borderId="13" xfId="2" applyNumberFormat="1" applyFont="1" applyFill="1" applyBorder="1"/>
    <xf numFmtId="0" fontId="15" fillId="3" borderId="2" xfId="0" applyFont="1" applyFill="1" applyBorder="1"/>
    <xf numFmtId="0" fontId="4" fillId="3" borderId="38" xfId="0" applyFont="1" applyFill="1" applyBorder="1"/>
    <xf numFmtId="168" fontId="4" fillId="3" borderId="2" xfId="0" applyNumberFormat="1" applyFont="1" applyFill="1" applyBorder="1" applyAlignment="1">
      <alignment horizontal="center"/>
    </xf>
    <xf numFmtId="180" fontId="7" fillId="3" borderId="2" xfId="1" applyNumberFormat="1" applyFont="1" applyFill="1" applyBorder="1"/>
    <xf numFmtId="180" fontId="7" fillId="3" borderId="87" xfId="1" applyNumberFormat="1" applyFont="1" applyFill="1" applyBorder="1"/>
    <xf numFmtId="0" fontId="3" fillId="3" borderId="88" xfId="0" applyFont="1" applyFill="1" applyBorder="1"/>
    <xf numFmtId="168" fontId="3" fillId="3" borderId="86" xfId="2" applyNumberFormat="1" applyFont="1" applyFill="1" applyBorder="1" applyAlignment="1">
      <alignment horizontal="center"/>
    </xf>
    <xf numFmtId="180" fontId="6" fillId="3" borderId="86" xfId="1" applyNumberFormat="1" applyFont="1" applyFill="1" applyBorder="1"/>
    <xf numFmtId="180" fontId="6" fillId="3" borderId="40" xfId="1" applyNumberFormat="1" applyFont="1" applyFill="1" applyBorder="1"/>
    <xf numFmtId="180" fontId="6" fillId="3" borderId="89" xfId="1" applyNumberFormat="1" applyFont="1" applyFill="1" applyBorder="1"/>
    <xf numFmtId="0" fontId="74" fillId="3" borderId="0" xfId="0" applyFont="1" applyFill="1" applyBorder="1" applyAlignment="1"/>
    <xf numFmtId="0" fontId="75" fillId="0" borderId="0" xfId="1247" applyFill="1" applyBorder="1" applyAlignment="1">
      <alignment horizontal="left" indent="1"/>
    </xf>
    <xf numFmtId="167" fontId="5" fillId="0" borderId="0" xfId="1" applyNumberFormat="1" applyFont="1" applyBorder="1"/>
    <xf numFmtId="185" fontId="5" fillId="0" borderId="0" xfId="1" applyNumberFormat="1" applyFont="1" applyBorder="1"/>
    <xf numFmtId="0" fontId="4" fillId="4" borderId="4" xfId="0" applyFont="1" applyFill="1" applyBorder="1" applyAlignment="1">
      <alignment vertical="center"/>
    </xf>
    <xf numFmtId="0" fontId="3" fillId="0" borderId="90" xfId="0" applyFont="1" applyBorder="1"/>
    <xf numFmtId="167" fontId="5" fillId="0" borderId="91" xfId="1" applyNumberFormat="1" applyFont="1" applyBorder="1"/>
    <xf numFmtId="185" fontId="5" fillId="0" borderId="91" xfId="1" applyNumberFormat="1" applyFont="1" applyBorder="1"/>
    <xf numFmtId="185" fontId="5" fillId="0" borderId="92" xfId="1" applyNumberFormat="1" applyFont="1" applyBorder="1"/>
    <xf numFmtId="0" fontId="3" fillId="0" borderId="6" xfId="0" applyFont="1" applyBorder="1"/>
    <xf numFmtId="185" fontId="5" fillId="0" borderId="7" xfId="1" applyNumberFormat="1" applyFont="1" applyBorder="1"/>
    <xf numFmtId="167" fontId="5" fillId="0" borderId="26" xfId="1" applyNumberFormat="1" applyFont="1" applyBorder="1"/>
    <xf numFmtId="0" fontId="3" fillId="0" borderId="2" xfId="0" applyFont="1" applyFill="1" applyBorder="1"/>
    <xf numFmtId="185" fontId="4" fillId="14" borderId="13" xfId="1" applyNumberFormat="1" applyFont="1" applyFill="1" applyBorder="1"/>
    <xf numFmtId="0" fontId="4" fillId="4" borderId="3" xfId="0" applyFont="1" applyFill="1" applyBorder="1" applyAlignment="1">
      <alignment horizontal="center" vertical="center" wrapText="1"/>
    </xf>
    <xf numFmtId="170" fontId="3" fillId="5" borderId="3" xfId="0" applyNumberFormat="1" applyFont="1" applyFill="1" applyBorder="1"/>
    <xf numFmtId="171" fontId="3" fillId="47" borderId="10" xfId="1" applyNumberFormat="1" applyFont="1" applyFill="1" applyBorder="1"/>
    <xf numFmtId="171" fontId="3" fillId="3" borderId="94" xfId="0" applyNumberFormat="1" applyFont="1" applyFill="1" applyBorder="1"/>
    <xf numFmtId="171" fontId="3" fillId="5" borderId="3" xfId="0" applyNumberFormat="1" applyFont="1" applyFill="1" applyBorder="1"/>
    <xf numFmtId="171" fontId="3" fillId="3" borderId="10" xfId="0" applyNumberFormat="1" applyFont="1" applyFill="1" applyBorder="1"/>
    <xf numFmtId="171" fontId="4" fillId="47" borderId="25" xfId="0" applyNumberFormat="1" applyFont="1" applyFill="1" applyBorder="1"/>
    <xf numFmtId="171" fontId="4" fillId="47" borderId="3" xfId="1" applyNumberFormat="1" applyFont="1" applyFill="1" applyBorder="1"/>
    <xf numFmtId="171" fontId="4" fillId="47" borderId="95" xfId="1" applyNumberFormat="1" applyFont="1" applyFill="1" applyBorder="1"/>
    <xf numFmtId="169" fontId="4" fillId="5" borderId="30" xfId="3" applyNumberFormat="1" applyFont="1" applyFill="1" applyBorder="1"/>
    <xf numFmtId="169" fontId="4" fillId="5" borderId="24" xfId="3" applyNumberFormat="1" applyFont="1" applyFill="1" applyBorder="1"/>
    <xf numFmtId="0" fontId="3" fillId="3" borderId="97" xfId="0" applyFont="1" applyFill="1" applyBorder="1"/>
    <xf numFmtId="169" fontId="3" fillId="3" borderId="97" xfId="3" applyNumberFormat="1" applyFont="1" applyFill="1" applyBorder="1"/>
    <xf numFmtId="169" fontId="3" fillId="3" borderId="86" xfId="3" applyNumberFormat="1" applyFont="1" applyFill="1" applyBorder="1"/>
    <xf numFmtId="169" fontId="3" fillId="3" borderId="40" xfId="3" applyNumberFormat="1" applyFont="1" applyFill="1" applyBorder="1"/>
    <xf numFmtId="171" fontId="3" fillId="47" borderId="96" xfId="1" applyNumberFormat="1" applyFont="1" applyFill="1" applyBorder="1"/>
    <xf numFmtId="169" fontId="4" fillId="5" borderId="2" xfId="0" applyNumberFormat="1" applyFont="1" applyFill="1" applyBorder="1"/>
    <xf numFmtId="169" fontId="4" fillId="5" borderId="24" xfId="0" applyNumberFormat="1" applyFont="1" applyFill="1" applyBorder="1"/>
    <xf numFmtId="169" fontId="4" fillId="5" borderId="17" xfId="3" applyNumberFormat="1" applyFont="1" applyFill="1" applyBorder="1"/>
    <xf numFmtId="171" fontId="4" fillId="47" borderId="25" xfId="1" applyNumberFormat="1" applyFont="1" applyFill="1" applyBorder="1"/>
    <xf numFmtId="0" fontId="4" fillId="5" borderId="14" xfId="0" applyFont="1" applyFill="1" applyBorder="1" applyAlignment="1">
      <alignment horizontal="left"/>
    </xf>
    <xf numFmtId="0" fontId="3" fillId="0" borderId="0" xfId="0" applyFont="1" applyFill="1" applyAlignment="1">
      <alignment vertical="top" wrapText="1"/>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171" fontId="3" fillId="17" borderId="0" xfId="1" applyNumberFormat="1" applyFont="1" applyFill="1" applyBorder="1"/>
    <xf numFmtId="0" fontId="3" fillId="50" borderId="0" xfId="0" applyFont="1" applyFill="1" applyAlignment="1">
      <alignment vertical="top" wrapText="1"/>
    </xf>
    <xf numFmtId="3" fontId="4" fillId="5" borderId="30" xfId="0" applyNumberFormat="1" applyFont="1" applyFill="1" applyBorder="1"/>
    <xf numFmtId="172" fontId="3" fillId="5" borderId="13" xfId="1" applyNumberFormat="1" applyFont="1" applyFill="1" applyBorder="1"/>
    <xf numFmtId="171" fontId="3" fillId="3" borderId="0" xfId="3" applyNumberFormat="1" applyFont="1" applyFill="1" applyBorder="1"/>
    <xf numFmtId="168" fontId="3" fillId="3" borderId="0" xfId="2" applyNumberFormat="1" applyFont="1" applyFill="1" applyBorder="1"/>
    <xf numFmtId="0" fontId="3" fillId="3" borderId="0" xfId="0" applyFont="1" applyFill="1" applyBorder="1" applyAlignment="1">
      <alignment horizontal="left" indent="1"/>
    </xf>
    <xf numFmtId="181" fontId="5" fillId="0" borderId="0" xfId="3" applyNumberFormat="1" applyFont="1" applyFill="1" applyBorder="1"/>
    <xf numFmtId="186" fontId="4" fillId="5" borderId="12" xfId="1" applyNumberFormat="1" applyFont="1" applyFill="1" applyBorder="1"/>
    <xf numFmtId="186" fontId="4" fillId="5" borderId="14" xfId="1" applyNumberFormat="1" applyFont="1" applyFill="1" applyBorder="1"/>
    <xf numFmtId="186" fontId="4" fillId="5" borderId="13" xfId="1" applyNumberFormat="1" applyFont="1" applyFill="1" applyBorder="1"/>
    <xf numFmtId="186" fontId="4" fillId="5" borderId="2" xfId="1" applyNumberFormat="1" applyFont="1" applyFill="1" applyBorder="1"/>
    <xf numFmtId="3" fontId="3" fillId="3" borderId="0" xfId="0" applyNumberFormat="1" applyFont="1" applyFill="1"/>
    <xf numFmtId="183" fontId="3" fillId="3" borderId="6" xfId="1" applyNumberFormat="1" applyFont="1" applyFill="1" applyBorder="1"/>
    <xf numFmtId="187" fontId="4" fillId="5" borderId="12" xfId="3" applyNumberFormat="1" applyFont="1" applyFill="1" applyBorder="1"/>
    <xf numFmtId="187" fontId="3" fillId="3" borderId="0" xfId="3" applyNumberFormat="1" applyFont="1" applyFill="1" applyBorder="1"/>
    <xf numFmtId="187" fontId="3" fillId="5" borderId="13" xfId="3" applyNumberFormat="1" applyFont="1" applyFill="1" applyBorder="1"/>
    <xf numFmtId="187" fontId="4" fillId="5" borderId="13" xfId="3" applyNumberFormat="1" applyFont="1" applyFill="1" applyBorder="1"/>
    <xf numFmtId="187" fontId="4" fillId="5" borderId="2" xfId="3" applyNumberFormat="1" applyFont="1" applyFill="1" applyBorder="1"/>
    <xf numFmtId="187" fontId="4" fillId="5" borderId="14" xfId="3" applyNumberFormat="1" applyFont="1" applyFill="1" applyBorder="1"/>
    <xf numFmtId="185" fontId="3" fillId="12" borderId="0" xfId="1" applyNumberFormat="1" applyFont="1" applyFill="1" applyBorder="1" applyAlignment="1">
      <alignment vertical="center"/>
    </xf>
    <xf numFmtId="185" fontId="3" fillId="13" borderId="0" xfId="1" applyNumberFormat="1" applyFont="1" applyFill="1" applyBorder="1" applyAlignment="1">
      <alignment vertical="center"/>
    </xf>
    <xf numFmtId="185" fontId="3" fillId="15" borderId="0" xfId="1" applyNumberFormat="1" applyFont="1" applyFill="1" applyBorder="1" applyAlignment="1">
      <alignment vertical="center"/>
    </xf>
    <xf numFmtId="185" fontId="3" fillId="17" borderId="0" xfId="1" applyNumberFormat="1" applyFont="1" applyFill="1" applyBorder="1" applyAlignment="1">
      <alignment vertical="center"/>
    </xf>
    <xf numFmtId="186" fontId="6" fillId="3" borderId="77" xfId="1" applyNumberFormat="1" applyFont="1" applyFill="1" applyBorder="1"/>
    <xf numFmtId="185" fontId="4" fillId="5" borderId="98" xfId="1" applyNumberFormat="1" applyFont="1" applyFill="1" applyBorder="1"/>
    <xf numFmtId="185" fontId="4" fillId="5" borderId="15" xfId="1" applyNumberFormat="1" applyFont="1" applyFill="1" applyBorder="1"/>
    <xf numFmtId="185" fontId="4" fillId="14" borderId="15" xfId="1" applyNumberFormat="1" applyFont="1" applyFill="1" applyBorder="1"/>
    <xf numFmtId="185" fontId="4" fillId="5" borderId="17" xfId="1" applyNumberFormat="1" applyFont="1" applyFill="1" applyBorder="1"/>
    <xf numFmtId="170" fontId="4" fillId="5" borderId="15" xfId="2" applyNumberFormat="1" applyFont="1" applyFill="1" applyBorder="1"/>
    <xf numFmtId="170" fontId="4" fillId="3" borderId="35" xfId="2" applyNumberFormat="1" applyFont="1" applyFill="1" applyBorder="1"/>
    <xf numFmtId="183" fontId="4" fillId="3" borderId="35" xfId="1" applyNumberFormat="1" applyFont="1" applyFill="1" applyBorder="1"/>
    <xf numFmtId="185" fontId="4" fillId="51" borderId="7" xfId="1" applyNumberFormat="1" applyFont="1" applyFill="1" applyBorder="1"/>
    <xf numFmtId="0" fontId="9" fillId="6" borderId="93" xfId="7" applyFont="1" applyFill="1" applyBorder="1" applyAlignment="1" applyProtection="1">
      <alignment horizontal="center" vertical="center" wrapText="1"/>
    </xf>
    <xf numFmtId="183" fontId="3" fillId="3" borderId="4" xfId="1" applyNumberFormat="1" applyFont="1" applyFill="1" applyBorder="1"/>
    <xf numFmtId="183" fontId="4" fillId="5" borderId="29" xfId="1" applyNumberFormat="1" applyFont="1" applyFill="1" applyBorder="1"/>
    <xf numFmtId="183" fontId="4" fillId="5" borderId="21" xfId="1" applyNumberFormat="1" applyFont="1" applyFill="1" applyBorder="1"/>
    <xf numFmtId="183" fontId="4" fillId="5" borderId="30" xfId="1" applyNumberFormat="1" applyFont="1" applyFill="1" applyBorder="1"/>
    <xf numFmtId="183" fontId="4" fillId="5" borderId="28" xfId="1" applyNumberFormat="1" applyFont="1" applyFill="1" applyBorder="1"/>
    <xf numFmtId="171" fontId="4" fillId="5" borderId="13" xfId="3" applyNumberFormat="1" applyFont="1" applyFill="1" applyBorder="1"/>
    <xf numFmtId="171" fontId="4" fillId="5" borderId="2" xfId="0" applyNumberFormat="1" applyFont="1" applyFill="1" applyBorder="1"/>
    <xf numFmtId="5" fontId="3" fillId="53" borderId="0" xfId="1" applyNumberFormat="1" applyFont="1" applyFill="1" applyBorder="1"/>
    <xf numFmtId="187" fontId="3" fillId="53" borderId="0" xfId="1" applyNumberFormat="1" applyFont="1" applyFill="1" applyBorder="1"/>
    <xf numFmtId="183" fontId="3" fillId="53" borderId="0" xfId="1" applyNumberFormat="1" applyFont="1" applyFill="1" applyBorder="1"/>
    <xf numFmtId="0" fontId="3" fillId="0" borderId="0" xfId="0" applyFont="1" applyFill="1" applyAlignment="1">
      <alignment vertical="top" wrapText="1"/>
    </xf>
    <xf numFmtId="0" fontId="9" fillId="6" borderId="19" xfId="7" applyFont="1" applyFill="1" applyBorder="1" applyAlignment="1" applyProtection="1">
      <alignment horizontal="center" vertical="center"/>
    </xf>
    <xf numFmtId="0" fontId="9" fillId="6" borderId="74" xfId="7" applyFont="1" applyFill="1" applyBorder="1" applyAlignment="1" applyProtection="1">
      <alignment horizontal="center" vertical="center"/>
    </xf>
    <xf numFmtId="0" fontId="4" fillId="4" borderId="22" xfId="0" applyFont="1" applyFill="1" applyBorder="1"/>
    <xf numFmtId="0" fontId="3" fillId="3" borderId="22" xfId="0" applyFont="1" applyFill="1" applyBorder="1" applyAlignment="1">
      <alignment horizontal="left" indent="1"/>
    </xf>
    <xf numFmtId="0" fontId="3" fillId="3" borderId="0" xfId="0" applyFont="1" applyFill="1" applyBorder="1" applyAlignment="1">
      <alignment horizontal="left" wrapText="1" indent="1"/>
    </xf>
    <xf numFmtId="0" fontId="3" fillId="3" borderId="26" xfId="0" applyFont="1" applyFill="1" applyBorder="1" applyAlignment="1">
      <alignment horizontal="left" indent="1"/>
    </xf>
    <xf numFmtId="10" fontId="3" fillId="3" borderId="0" xfId="0" applyNumberFormat="1" applyFont="1" applyFill="1" applyBorder="1" applyAlignment="1">
      <alignment horizontal="left" indent="1"/>
    </xf>
    <xf numFmtId="168" fontId="3" fillId="3" borderId="0" xfId="2" applyNumberFormat="1" applyFont="1" applyFill="1" applyBorder="1" applyAlignment="1">
      <alignment horizontal="left" indent="1"/>
    </xf>
    <xf numFmtId="10" fontId="3" fillId="3" borderId="0" xfId="2" applyNumberFormat="1" applyFont="1" applyFill="1" applyBorder="1" applyAlignment="1">
      <alignment horizontal="left" indent="1"/>
    </xf>
    <xf numFmtId="168" fontId="5" fillId="3" borderId="9" xfId="2" applyNumberFormat="1" applyFont="1" applyFill="1" applyBorder="1"/>
    <xf numFmtId="0" fontId="78" fillId="49" borderId="15" xfId="0" applyFont="1" applyFill="1" applyBorder="1" applyAlignment="1"/>
    <xf numFmtId="180" fontId="7" fillId="0" borderId="0" xfId="1" applyNumberFormat="1" applyFont="1" applyFill="1" applyBorder="1"/>
    <xf numFmtId="0" fontId="4" fillId="0" borderId="32" xfId="0" applyFont="1" applyFill="1" applyBorder="1"/>
    <xf numFmtId="180" fontId="7" fillId="0" borderId="33" xfId="1" applyNumberFormat="1" applyFont="1" applyFill="1" applyBorder="1"/>
    <xf numFmtId="180" fontId="6" fillId="3" borderId="82" xfId="1" applyNumberFormat="1" applyFont="1" applyFill="1" applyBorder="1"/>
    <xf numFmtId="168" fontId="3" fillId="12" borderId="6" xfId="2" applyNumberFormat="1" applyFont="1" applyFill="1" applyBorder="1"/>
    <xf numFmtId="168" fontId="3" fillId="12" borderId="4" xfId="2" applyNumberFormat="1" applyFont="1" applyFill="1" applyBorder="1"/>
    <xf numFmtId="168" fontId="4" fillId="5" borderId="21" xfId="2" applyNumberFormat="1" applyFont="1" applyFill="1" applyBorder="1"/>
    <xf numFmtId="9" fontId="5" fillId="0" borderId="7" xfId="2" applyNumberFormat="1" applyFont="1" applyFill="1" applyBorder="1"/>
    <xf numFmtId="185" fontId="5" fillId="3" borderId="7" xfId="1" applyNumberFormat="1" applyFont="1" applyFill="1" applyBorder="1"/>
    <xf numFmtId="9" fontId="5" fillId="0" borderId="0" xfId="2" applyNumberFormat="1" applyFont="1" applyFill="1" applyBorder="1"/>
    <xf numFmtId="9" fontId="5" fillId="3" borderId="7" xfId="2" applyNumberFormat="1" applyFont="1" applyFill="1" applyBorder="1"/>
    <xf numFmtId="9" fontId="5" fillId="3" borderId="7" xfId="2" applyNumberFormat="1" applyFont="1" applyFill="1" applyBorder="1" applyAlignment="1">
      <alignment vertical="center" wrapText="1"/>
    </xf>
    <xf numFmtId="9" fontId="5" fillId="3" borderId="9" xfId="2" applyNumberFormat="1" applyFont="1" applyFill="1" applyBorder="1" applyAlignment="1">
      <alignment vertical="center" wrapText="1"/>
    </xf>
    <xf numFmtId="0" fontId="9" fillId="6" borderId="20" xfId="7" applyFont="1" applyFill="1" applyBorder="1" applyAlignment="1" applyProtection="1">
      <alignment vertical="center"/>
    </xf>
    <xf numFmtId="0" fontId="3" fillId="3" borderId="5" xfId="0" applyFont="1" applyFill="1" applyBorder="1"/>
    <xf numFmtId="0" fontId="3" fillId="3" borderId="40" xfId="0" applyFont="1" applyFill="1" applyBorder="1"/>
    <xf numFmtId="169" fontId="3" fillId="3" borderId="22" xfId="3" applyNumberFormat="1" applyFont="1" applyFill="1" applyBorder="1"/>
    <xf numFmtId="169" fontId="3" fillId="3" borderId="5" xfId="3" applyNumberFormat="1" applyFont="1" applyFill="1" applyBorder="1"/>
    <xf numFmtId="169" fontId="3" fillId="3" borderId="4" xfId="3" applyNumberFormat="1" applyFont="1" applyFill="1" applyBorder="1"/>
    <xf numFmtId="0" fontId="3" fillId="3" borderId="22" xfId="0" applyFont="1" applyFill="1" applyBorder="1"/>
    <xf numFmtId="169" fontId="3" fillId="3" borderId="9" xfId="3" applyNumberFormat="1" applyFont="1" applyFill="1" applyBorder="1"/>
    <xf numFmtId="185" fontId="3" fillId="3" borderId="4" xfId="1" applyNumberFormat="1" applyFont="1" applyFill="1" applyBorder="1"/>
    <xf numFmtId="185" fontId="3" fillId="12" borderId="22" xfId="1" applyNumberFormat="1" applyFont="1" applyFill="1" applyBorder="1"/>
    <xf numFmtId="185" fontId="3" fillId="13" borderId="22" xfId="1" applyNumberFormat="1" applyFont="1" applyFill="1" applyBorder="1"/>
    <xf numFmtId="185" fontId="3" fillId="15" borderId="22" xfId="1" applyNumberFormat="1" applyFont="1" applyFill="1" applyBorder="1"/>
    <xf numFmtId="185" fontId="3" fillId="18" borderId="22" xfId="1" applyNumberFormat="1" applyFont="1" applyFill="1" applyBorder="1"/>
    <xf numFmtId="185" fontId="3" fillId="3" borderId="22" xfId="1" applyNumberFormat="1" applyFont="1" applyFill="1" applyBorder="1"/>
    <xf numFmtId="185" fontId="4" fillId="53" borderId="22" xfId="1" applyNumberFormat="1" applyFont="1" applyFill="1" applyBorder="1"/>
    <xf numFmtId="171" fontId="3" fillId="47" borderId="11" xfId="1" applyNumberFormat="1" applyFont="1" applyFill="1" applyBorder="1"/>
    <xf numFmtId="185" fontId="3" fillId="3" borderId="8" xfId="1" applyNumberFormat="1" applyFont="1" applyFill="1" applyBorder="1"/>
    <xf numFmtId="185" fontId="3" fillId="12" borderId="26" xfId="1" applyNumberFormat="1" applyFont="1" applyFill="1" applyBorder="1"/>
    <xf numFmtId="185" fontId="3" fillId="13" borderId="26" xfId="1" applyNumberFormat="1" applyFont="1" applyFill="1" applyBorder="1"/>
    <xf numFmtId="185" fontId="3" fillId="15" borderId="26" xfId="1" applyNumberFormat="1" applyFont="1" applyFill="1" applyBorder="1"/>
    <xf numFmtId="185" fontId="3" fillId="18" borderId="26" xfId="1" applyNumberFormat="1" applyFont="1" applyFill="1" applyBorder="1"/>
    <xf numFmtId="185" fontId="3" fillId="3" borderId="26" xfId="1" applyNumberFormat="1" applyFont="1" applyFill="1" applyBorder="1"/>
    <xf numFmtId="185" fontId="4" fillId="51" borderId="9" xfId="1" applyNumberFormat="1" applyFont="1" applyFill="1" applyBorder="1"/>
    <xf numFmtId="171" fontId="3" fillId="47" borderId="16" xfId="1" applyNumberFormat="1" applyFont="1" applyFill="1" applyBorder="1"/>
    <xf numFmtId="185" fontId="3" fillId="12" borderId="4" xfId="1" applyNumberFormat="1" applyFont="1" applyFill="1" applyBorder="1"/>
    <xf numFmtId="185" fontId="3" fillId="17" borderId="22" xfId="1" applyNumberFormat="1" applyFont="1" applyFill="1" applyBorder="1"/>
    <xf numFmtId="185" fontId="4" fillId="51" borderId="5" xfId="1" applyNumberFormat="1" applyFont="1" applyFill="1" applyBorder="1"/>
    <xf numFmtId="185" fontId="4" fillId="53" borderId="5" xfId="1" applyNumberFormat="1" applyFont="1" applyFill="1" applyBorder="1"/>
    <xf numFmtId="185" fontId="3" fillId="3" borderId="6" xfId="1" applyNumberFormat="1" applyFont="1" applyFill="1" applyBorder="1"/>
    <xf numFmtId="185" fontId="3" fillId="13" borderId="0" xfId="1" applyNumberFormat="1" applyFont="1" applyFill="1" applyBorder="1"/>
    <xf numFmtId="185" fontId="3" fillId="18" borderId="0" xfId="1" applyNumberFormat="1" applyFont="1" applyFill="1" applyBorder="1"/>
    <xf numFmtId="185" fontId="3" fillId="3" borderId="6" xfId="1" applyNumberFormat="1" applyFont="1" applyFill="1" applyBorder="1" applyAlignment="1">
      <alignment vertical="center"/>
    </xf>
    <xf numFmtId="185" fontId="3" fillId="17" borderId="26" xfId="1" applyNumberFormat="1" applyFont="1" applyFill="1" applyBorder="1"/>
    <xf numFmtId="185" fontId="4" fillId="52" borderId="7" xfId="1" applyNumberFormat="1" applyFont="1" applyFill="1" applyBorder="1"/>
    <xf numFmtId="185" fontId="4" fillId="52" borderId="9" xfId="1" applyNumberFormat="1" applyFont="1" applyFill="1" applyBorder="1"/>
    <xf numFmtId="0" fontId="75" fillId="0" borderId="0" xfId="1247"/>
    <xf numFmtId="0" fontId="3" fillId="0" borderId="20" xfId="0" applyFont="1" applyFill="1" applyBorder="1"/>
    <xf numFmtId="181" fontId="3" fillId="0" borderId="74" xfId="1" applyNumberFormat="1" applyFont="1" applyFill="1" applyBorder="1"/>
    <xf numFmtId="181" fontId="3" fillId="0" borderId="77" xfId="1" applyNumberFormat="1" applyFont="1" applyFill="1" applyBorder="1"/>
    <xf numFmtId="0" fontId="4" fillId="0" borderId="38" xfId="0" applyFont="1" applyFill="1" applyBorder="1"/>
    <xf numFmtId="181" fontId="4" fillId="0" borderId="82" xfId="1" applyNumberFormat="1" applyFont="1" applyFill="1" applyBorder="1"/>
    <xf numFmtId="188" fontId="3" fillId="13" borderId="0" xfId="2" applyNumberFormat="1" applyFont="1" applyFill="1" applyBorder="1"/>
    <xf numFmtId="177" fontId="3" fillId="13" borderId="0" xfId="2" applyNumberFormat="1" applyFont="1" applyFill="1" applyBorder="1"/>
    <xf numFmtId="189" fontId="3" fillId="13" borderId="0" xfId="1" applyNumberFormat="1" applyFont="1" applyFill="1" applyBorder="1"/>
    <xf numFmtId="0" fontId="3" fillId="3" borderId="8" xfId="0" applyFont="1" applyFill="1" applyBorder="1" applyAlignment="1"/>
    <xf numFmtId="0" fontId="3" fillId="3" borderId="9" xfId="0" applyFont="1" applyFill="1" applyBorder="1"/>
    <xf numFmtId="169" fontId="5" fillId="0" borderId="9" xfId="3" applyNumberFormat="1" applyFont="1" applyFill="1" applyBorder="1"/>
    <xf numFmtId="169" fontId="6" fillId="0" borderId="9" xfId="3" applyNumberFormat="1" applyFont="1" applyFill="1" applyBorder="1" applyAlignment="1">
      <alignment horizontal="right"/>
    </xf>
    <xf numFmtId="168" fontId="0" fillId="0" borderId="0" xfId="2" applyNumberFormat="1" applyFont="1" applyBorder="1"/>
    <xf numFmtId="0" fontId="0" fillId="0" borderId="26" xfId="0" applyFont="1" applyBorder="1"/>
    <xf numFmtId="168" fontId="1" fillId="0" borderId="26" xfId="2" applyNumberFormat="1" applyFont="1" applyBorder="1"/>
    <xf numFmtId="0" fontId="3" fillId="3" borderId="0" xfId="0" applyNumberFormat="1" applyFont="1" applyFill="1" applyAlignment="1">
      <alignment horizontal="right" indent="1"/>
    </xf>
    <xf numFmtId="3" fontId="3" fillId="3" borderId="0" xfId="0" applyNumberFormat="1" applyFont="1" applyFill="1" applyAlignment="1">
      <alignment horizontal="right" indent="1"/>
    </xf>
    <xf numFmtId="168" fontId="3" fillId="3" borderId="0" xfId="2" applyNumberFormat="1" applyFont="1" applyFill="1" applyAlignment="1">
      <alignment horizontal="right" indent="1"/>
    </xf>
    <xf numFmtId="7" fontId="3" fillId="3" borderId="0" xfId="1" applyNumberFormat="1" applyFont="1" applyFill="1" applyAlignment="1">
      <alignment horizontal="right"/>
    </xf>
    <xf numFmtId="5" fontId="3" fillId="3" borderId="0" xfId="1" applyNumberFormat="1" applyFont="1" applyFill="1" applyAlignment="1">
      <alignment horizontal="right"/>
    </xf>
    <xf numFmtId="10" fontId="3" fillId="15" borderId="0" xfId="2" applyNumberFormat="1" applyFont="1" applyFill="1" applyBorder="1"/>
    <xf numFmtId="177" fontId="3" fillId="15" borderId="0" xfId="2" applyNumberFormat="1" applyFont="1" applyFill="1" applyBorder="1"/>
    <xf numFmtId="170" fontId="3" fillId="12" borderId="0" xfId="1" applyNumberFormat="1" applyFont="1" applyFill="1" applyBorder="1"/>
    <xf numFmtId="170" fontId="3" fillId="13" borderId="0" xfId="1" applyNumberFormat="1" applyFont="1" applyFill="1" applyBorder="1"/>
    <xf numFmtId="7" fontId="3" fillId="3" borderId="0" xfId="1" applyNumberFormat="1" applyFont="1" applyFill="1" applyAlignment="1"/>
    <xf numFmtId="5" fontId="3" fillId="3" borderId="0" xfId="1" applyNumberFormat="1" applyFont="1" applyFill="1" applyAlignment="1"/>
    <xf numFmtId="185" fontId="5" fillId="0" borderId="26" xfId="1" applyNumberFormat="1" applyFont="1" applyBorder="1"/>
    <xf numFmtId="0" fontId="9" fillId="6" borderId="27" xfId="7" applyFont="1" applyFill="1" applyBorder="1" applyAlignment="1" applyProtection="1">
      <alignment horizontal="center" vertical="center" wrapText="1"/>
    </xf>
    <xf numFmtId="0" fontId="9" fillId="6" borderId="31" xfId="7" applyFont="1" applyFill="1" applyBorder="1" applyAlignment="1" applyProtection="1">
      <alignment horizontal="center" vertical="center" wrapText="1"/>
    </xf>
    <xf numFmtId="0" fontId="9" fillId="6" borderId="35" xfId="7" applyFont="1" applyFill="1" applyBorder="1" applyAlignment="1" applyProtection="1">
      <alignment horizontal="center" vertical="center" wrapText="1"/>
    </xf>
    <xf numFmtId="0" fontId="74" fillId="3" borderId="0" xfId="0" applyFont="1" applyFill="1" applyBorder="1" applyAlignment="1">
      <alignment horizontal="left" indent="1"/>
    </xf>
    <xf numFmtId="0" fontId="4" fillId="3" borderId="20" xfId="0" applyFont="1" applyFill="1" applyBorder="1" applyAlignment="1">
      <alignment horizontal="center"/>
    </xf>
    <xf numFmtId="0" fontId="4" fillId="3" borderId="74" xfId="0" applyFont="1" applyFill="1" applyBorder="1" applyAlignment="1">
      <alignment horizontal="center"/>
    </xf>
    <xf numFmtId="0" fontId="4" fillId="0" borderId="0" xfId="0" applyFont="1" applyFill="1" applyBorder="1" applyAlignment="1">
      <alignment horizontal="left" indent="1"/>
    </xf>
    <xf numFmtId="0" fontId="3" fillId="0" borderId="0" xfId="0" applyFont="1" applyFill="1" applyAlignment="1">
      <alignment vertical="top" wrapText="1"/>
    </xf>
    <xf numFmtId="0" fontId="3" fillId="3" borderId="0" xfId="0" applyFont="1" applyFill="1" applyAlignment="1">
      <alignment horizontal="left" wrapText="1"/>
    </xf>
    <xf numFmtId="0" fontId="9" fillId="6" borderId="21" xfId="7" applyFont="1" applyFill="1" applyBorder="1" applyAlignment="1" applyProtection="1">
      <alignment horizontal="center" vertical="center" wrapText="1"/>
    </xf>
    <xf numFmtId="0" fontId="9" fillId="6" borderId="13" xfId="7" applyFont="1" applyFill="1" applyBorder="1" applyAlignment="1" applyProtection="1">
      <alignment horizontal="center" vertical="center" wrapText="1"/>
    </xf>
    <xf numFmtId="0" fontId="9" fillId="6" borderId="39" xfId="7" applyFont="1" applyFill="1" applyBorder="1" applyAlignment="1" applyProtection="1">
      <alignment horizontal="center" vertical="center"/>
    </xf>
    <xf numFmtId="0" fontId="9" fillId="6" borderId="31" xfId="7" applyFont="1" applyFill="1" applyBorder="1" applyAlignment="1" applyProtection="1">
      <alignment horizontal="center" vertical="center"/>
    </xf>
    <xf numFmtId="0" fontId="9" fillId="6" borderId="35" xfId="7" applyFont="1" applyFill="1" applyBorder="1" applyAlignment="1" applyProtection="1">
      <alignment horizontal="center" vertical="center"/>
    </xf>
    <xf numFmtId="0" fontId="9" fillId="6" borderId="32" xfId="7" applyFont="1" applyFill="1" applyBorder="1" applyAlignment="1" applyProtection="1">
      <alignment horizontal="center" vertical="center"/>
    </xf>
    <xf numFmtId="0" fontId="9" fillId="6" borderId="34" xfId="7" applyFont="1" applyFill="1" applyBorder="1" applyAlignment="1" applyProtection="1">
      <alignment horizontal="center" vertical="center"/>
    </xf>
    <xf numFmtId="0" fontId="9" fillId="6" borderId="33" xfId="7" applyFont="1" applyFill="1" applyBorder="1" applyAlignment="1" applyProtection="1">
      <alignment horizontal="center" vertical="center"/>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9" xfId="0" applyFont="1" applyFill="1" applyBorder="1" applyAlignment="1">
      <alignment horizontal="center" vertical="center" wrapText="1"/>
    </xf>
    <xf numFmtId="185" fontId="4" fillId="51" borderId="7" xfId="1" applyNumberFormat="1" applyFont="1" applyFill="1" applyBorder="1" applyAlignment="1">
      <alignment horizontal="center" vertical="center"/>
    </xf>
    <xf numFmtId="185" fontId="3" fillId="15" borderId="22" xfId="1" applyNumberFormat="1" applyFont="1" applyFill="1" applyBorder="1" applyAlignment="1">
      <alignment horizontal="center" vertical="center"/>
    </xf>
    <xf numFmtId="185" fontId="3" fillId="15" borderId="0" xfId="1" applyNumberFormat="1" applyFont="1" applyFill="1" applyBorder="1" applyAlignment="1">
      <alignment horizontal="center" vertical="center"/>
    </xf>
    <xf numFmtId="185" fontId="3" fillId="13" borderId="22" xfId="1" applyNumberFormat="1" applyFont="1" applyFill="1" applyBorder="1" applyAlignment="1">
      <alignment horizontal="center" vertical="center"/>
    </xf>
    <xf numFmtId="185" fontId="3" fillId="13" borderId="0" xfId="1" applyNumberFormat="1" applyFont="1" applyFill="1" applyBorder="1" applyAlignment="1">
      <alignment horizontal="center" vertical="center"/>
    </xf>
    <xf numFmtId="185" fontId="3" fillId="12" borderId="22" xfId="1" applyNumberFormat="1" applyFont="1" applyFill="1" applyBorder="1" applyAlignment="1">
      <alignment horizontal="center" vertical="center"/>
    </xf>
    <xf numFmtId="185" fontId="3" fillId="12" borderId="0" xfId="1" applyNumberFormat="1" applyFont="1" applyFill="1" applyBorder="1" applyAlignment="1">
      <alignment horizontal="center" vertical="center"/>
    </xf>
    <xf numFmtId="185" fontId="3" fillId="3" borderId="4" xfId="1" applyNumberFormat="1" applyFont="1" applyFill="1" applyBorder="1" applyAlignment="1">
      <alignment horizontal="center" vertical="center"/>
    </xf>
    <xf numFmtId="185" fontId="3" fillId="3" borderId="6" xfId="1" applyNumberFormat="1" applyFont="1" applyFill="1" applyBorder="1" applyAlignment="1">
      <alignment horizontal="center" vertical="center"/>
    </xf>
    <xf numFmtId="185" fontId="3" fillId="18" borderId="22" xfId="1" applyNumberFormat="1" applyFont="1" applyFill="1" applyBorder="1" applyAlignment="1">
      <alignment horizontal="center" vertical="center"/>
    </xf>
    <xf numFmtId="185" fontId="3" fillId="18" borderId="0" xfId="1" applyNumberFormat="1" applyFont="1" applyFill="1" applyBorder="1" applyAlignment="1">
      <alignment horizontal="center" vertical="center"/>
    </xf>
    <xf numFmtId="185" fontId="3" fillId="17" borderId="0" xfId="1" applyNumberFormat="1" applyFont="1" applyFill="1" applyBorder="1" applyAlignment="1">
      <alignment horizontal="center" vertical="center"/>
    </xf>
    <xf numFmtId="185" fontId="3" fillId="3" borderId="22" xfId="1" applyNumberFormat="1" applyFont="1" applyFill="1" applyBorder="1" applyAlignment="1">
      <alignment horizontal="center" vertical="center"/>
    </xf>
    <xf numFmtId="185" fontId="3" fillId="3" borderId="26" xfId="1" applyNumberFormat="1" applyFont="1" applyFill="1" applyBorder="1" applyAlignment="1">
      <alignment horizontal="center" vertical="center"/>
    </xf>
    <xf numFmtId="185" fontId="4" fillId="51" borderId="5" xfId="1" applyNumberFormat="1" applyFont="1" applyFill="1" applyBorder="1" applyAlignment="1">
      <alignment horizontal="center" vertical="center"/>
    </xf>
    <xf numFmtId="185" fontId="4" fillId="51" borderId="9" xfId="1" applyNumberFormat="1" applyFont="1" applyFill="1" applyBorder="1" applyAlignment="1">
      <alignment horizontal="center" vertical="center"/>
    </xf>
    <xf numFmtId="185" fontId="3" fillId="17" borderId="22" xfId="1" applyNumberFormat="1" applyFont="1" applyFill="1" applyBorder="1" applyAlignment="1">
      <alignment horizontal="center" vertical="center"/>
    </xf>
    <xf numFmtId="185" fontId="3" fillId="17" borderId="26" xfId="1" applyNumberFormat="1" applyFont="1" applyFill="1" applyBorder="1" applyAlignment="1">
      <alignment horizontal="center" vertical="center"/>
    </xf>
    <xf numFmtId="185" fontId="3" fillId="3" borderId="22" xfId="1" applyNumberFormat="1" applyFont="1" applyFill="1" applyBorder="1" applyAlignment="1">
      <alignment horizontal="center"/>
    </xf>
    <xf numFmtId="185" fontId="3" fillId="3" borderId="26" xfId="1" applyNumberFormat="1" applyFont="1" applyFill="1" applyBorder="1" applyAlignment="1">
      <alignment horizontal="center"/>
    </xf>
    <xf numFmtId="185" fontId="4" fillId="52" borderId="5" xfId="1" applyNumberFormat="1" applyFont="1" applyFill="1" applyBorder="1" applyAlignment="1">
      <alignment horizontal="center" vertical="center"/>
    </xf>
    <xf numFmtId="185" fontId="4" fillId="52" borderId="7" xfId="1" applyNumberFormat="1" applyFont="1" applyFill="1" applyBorder="1" applyAlignment="1">
      <alignment horizontal="center" vertical="center"/>
    </xf>
    <xf numFmtId="185" fontId="74" fillId="3" borderId="6" xfId="1" applyNumberFormat="1" applyFont="1" applyFill="1" applyBorder="1" applyAlignment="1">
      <alignment horizontal="center"/>
    </xf>
    <xf numFmtId="185" fontId="74" fillId="3" borderId="0" xfId="1" applyNumberFormat="1" applyFont="1" applyFill="1" applyBorder="1" applyAlignment="1">
      <alignment horizontal="center"/>
    </xf>
    <xf numFmtId="185" fontId="74" fillId="3" borderId="7" xfId="1" applyNumberFormat="1" applyFont="1" applyFill="1" applyBorder="1" applyAlignment="1">
      <alignment horizontal="center"/>
    </xf>
    <xf numFmtId="185" fontId="3" fillId="3" borderId="0" xfId="1" applyNumberFormat="1" applyFont="1" applyFill="1" applyBorder="1" applyAlignment="1">
      <alignment horizontal="center" vertical="center"/>
    </xf>
    <xf numFmtId="185" fontId="3" fillId="3" borderId="8" xfId="1" applyNumberFormat="1" applyFont="1" applyFill="1" applyBorder="1" applyAlignment="1">
      <alignment horizontal="center" vertical="center"/>
    </xf>
    <xf numFmtId="185" fontId="3" fillId="12" borderId="26" xfId="1" applyNumberFormat="1" applyFont="1" applyFill="1" applyBorder="1" applyAlignment="1">
      <alignment horizontal="center" vertical="center"/>
    </xf>
    <xf numFmtId="185" fontId="3" fillId="13" borderId="26" xfId="1" applyNumberFormat="1" applyFont="1" applyFill="1" applyBorder="1" applyAlignment="1">
      <alignment horizontal="center" vertical="center"/>
    </xf>
    <xf numFmtId="185" fontId="3" fillId="15" borderId="26" xfId="1" applyNumberFormat="1" applyFont="1" applyFill="1" applyBorder="1" applyAlignment="1">
      <alignment horizontal="center" vertical="center"/>
    </xf>
    <xf numFmtId="0" fontId="9" fillId="6" borderId="27" xfId="7" applyFont="1" applyFill="1" applyBorder="1" applyAlignment="1" applyProtection="1">
      <alignment horizontal="center" vertical="center"/>
    </xf>
    <xf numFmtId="185" fontId="3" fillId="15" borderId="86" xfId="1" applyNumberFormat="1" applyFont="1" applyFill="1" applyBorder="1" applyAlignment="1">
      <alignment horizontal="center" vertical="center"/>
    </xf>
    <xf numFmtId="185" fontId="3" fillId="3" borderId="97" xfId="1" applyNumberFormat="1" applyFont="1" applyFill="1" applyBorder="1" applyAlignment="1">
      <alignment horizontal="center" vertical="center"/>
    </xf>
    <xf numFmtId="185" fontId="3" fillId="12" borderId="86" xfId="1" applyNumberFormat="1" applyFont="1" applyFill="1" applyBorder="1" applyAlignment="1">
      <alignment horizontal="center" vertical="center"/>
    </xf>
    <xf numFmtId="185" fontId="3" fillId="13" borderId="86" xfId="1" applyNumberFormat="1" applyFont="1" applyFill="1" applyBorder="1" applyAlignment="1">
      <alignment horizontal="center" vertical="center"/>
    </xf>
    <xf numFmtId="185" fontId="3" fillId="3" borderId="86" xfId="1" applyNumberFormat="1" applyFont="1" applyFill="1" applyBorder="1" applyAlignment="1">
      <alignment horizontal="center" vertical="center"/>
    </xf>
    <xf numFmtId="185" fontId="4" fillId="51" borderId="40" xfId="1" applyNumberFormat="1" applyFont="1" applyFill="1" applyBorder="1" applyAlignment="1">
      <alignment horizontal="center" vertical="center"/>
    </xf>
    <xf numFmtId="185" fontId="3" fillId="17" borderId="86" xfId="1" applyNumberFormat="1" applyFont="1" applyFill="1" applyBorder="1" applyAlignment="1">
      <alignment horizontal="center" vertical="center"/>
    </xf>
  </cellXfs>
  <cellStyles count="1248">
    <cellStyle name="~CALC Amount" xfId="32" xr:uid="{00000000-0005-0000-0000-000000000000}"/>
    <cellStyle name="~CALC Amount 2" xfId="79" xr:uid="{00000000-0005-0000-0000-000001000000}"/>
    <cellStyle name="~Total Sub" xfId="33" xr:uid="{00000000-0005-0000-0000-000002000000}"/>
    <cellStyle name="~Total Sub 2" xfId="80" xr:uid="{00000000-0005-0000-0000-000003000000}"/>
    <cellStyle name="20 % - Accent1 2" xfId="34" xr:uid="{00000000-0005-0000-0000-000004000000}"/>
    <cellStyle name="20 % - Accent2 2" xfId="35" xr:uid="{00000000-0005-0000-0000-000005000000}"/>
    <cellStyle name="20 % - Accent3 2" xfId="36" xr:uid="{00000000-0005-0000-0000-000006000000}"/>
    <cellStyle name="20 % - Accent4 2" xfId="37" xr:uid="{00000000-0005-0000-0000-000007000000}"/>
    <cellStyle name="20 % - Accent5 2" xfId="38" xr:uid="{00000000-0005-0000-0000-000008000000}"/>
    <cellStyle name="20 % - Accent6 2" xfId="39" xr:uid="{00000000-0005-0000-0000-000009000000}"/>
    <cellStyle name="20% - Accent1" xfId="91" xr:uid="{00000000-0005-0000-0000-00000A000000}"/>
    <cellStyle name="20% - Accent1 10 2" xfId="92" xr:uid="{00000000-0005-0000-0000-00000B000000}"/>
    <cellStyle name="20% - Accent1 11 2" xfId="93" xr:uid="{00000000-0005-0000-0000-00000C000000}"/>
    <cellStyle name="20% - Accent1 12 2" xfId="94" xr:uid="{00000000-0005-0000-0000-00000D000000}"/>
    <cellStyle name="20% - Accent1 13 2" xfId="95" xr:uid="{00000000-0005-0000-0000-00000E000000}"/>
    <cellStyle name="20% - Accent1 2" xfId="96" xr:uid="{00000000-0005-0000-0000-00000F000000}"/>
    <cellStyle name="20% - Accent1 2 2" xfId="97" xr:uid="{00000000-0005-0000-0000-000010000000}"/>
    <cellStyle name="20% - Accent1 2 2 2" xfId="98" xr:uid="{00000000-0005-0000-0000-000011000000}"/>
    <cellStyle name="20% - Accent1 2 2 2 2" xfId="99" xr:uid="{00000000-0005-0000-0000-000012000000}"/>
    <cellStyle name="20% - Accent1 2 2 3" xfId="100" xr:uid="{00000000-0005-0000-0000-000013000000}"/>
    <cellStyle name="20% - Accent1 2 3" xfId="101" xr:uid="{00000000-0005-0000-0000-000014000000}"/>
    <cellStyle name="20% - Accent1 2 3 2" xfId="102" xr:uid="{00000000-0005-0000-0000-000015000000}"/>
    <cellStyle name="20% - Accent1 3" xfId="103" xr:uid="{00000000-0005-0000-0000-000016000000}"/>
    <cellStyle name="20% - Accent1 4" xfId="104" xr:uid="{00000000-0005-0000-0000-000017000000}"/>
    <cellStyle name="20% - Accent1 5" xfId="105" xr:uid="{00000000-0005-0000-0000-000018000000}"/>
    <cellStyle name="20% - Accent1 5 2" xfId="106" xr:uid="{00000000-0005-0000-0000-000019000000}"/>
    <cellStyle name="20% - Accent1 6 2" xfId="107" xr:uid="{00000000-0005-0000-0000-00001A000000}"/>
    <cellStyle name="20% - Accent1 7 2" xfId="108" xr:uid="{00000000-0005-0000-0000-00001B000000}"/>
    <cellStyle name="20% - Accent1 8 2" xfId="109" xr:uid="{00000000-0005-0000-0000-00001C000000}"/>
    <cellStyle name="20% - Accent1 9 2" xfId="110" xr:uid="{00000000-0005-0000-0000-00001D000000}"/>
    <cellStyle name="20% - Accent1_NLBU -OPERATIONS  FINANCIAL REPORT - FEB10_REV Tanya" xfId="111" xr:uid="{00000000-0005-0000-0000-00001E000000}"/>
    <cellStyle name="20% - Accent2" xfId="112" xr:uid="{00000000-0005-0000-0000-00001F000000}"/>
    <cellStyle name="20% - Accent2 10 2" xfId="113" xr:uid="{00000000-0005-0000-0000-000020000000}"/>
    <cellStyle name="20% - Accent2 11 2" xfId="114" xr:uid="{00000000-0005-0000-0000-000021000000}"/>
    <cellStyle name="20% - Accent2 12 2" xfId="115" xr:uid="{00000000-0005-0000-0000-000022000000}"/>
    <cellStyle name="20% - Accent2 13 2" xfId="116" xr:uid="{00000000-0005-0000-0000-000023000000}"/>
    <cellStyle name="20% - Accent2 2" xfId="117" xr:uid="{00000000-0005-0000-0000-000024000000}"/>
    <cellStyle name="20% - Accent2 2 2" xfId="118" xr:uid="{00000000-0005-0000-0000-000025000000}"/>
    <cellStyle name="20% - Accent2 2 2 2" xfId="119" xr:uid="{00000000-0005-0000-0000-000026000000}"/>
    <cellStyle name="20% - Accent2 2 2 2 2" xfId="120" xr:uid="{00000000-0005-0000-0000-000027000000}"/>
    <cellStyle name="20% - Accent2 2 2 3" xfId="121" xr:uid="{00000000-0005-0000-0000-000028000000}"/>
    <cellStyle name="20% - Accent2 2 3" xfId="122" xr:uid="{00000000-0005-0000-0000-000029000000}"/>
    <cellStyle name="20% - Accent2 2 3 2" xfId="123" xr:uid="{00000000-0005-0000-0000-00002A000000}"/>
    <cellStyle name="20% - Accent2 3" xfId="124" xr:uid="{00000000-0005-0000-0000-00002B000000}"/>
    <cellStyle name="20% - Accent2 4" xfId="125" xr:uid="{00000000-0005-0000-0000-00002C000000}"/>
    <cellStyle name="20% - Accent2 5" xfId="126" xr:uid="{00000000-0005-0000-0000-00002D000000}"/>
    <cellStyle name="20% - Accent2 5 2" xfId="127" xr:uid="{00000000-0005-0000-0000-00002E000000}"/>
    <cellStyle name="20% - Accent2 6 2" xfId="128" xr:uid="{00000000-0005-0000-0000-00002F000000}"/>
    <cellStyle name="20% - Accent2 7 2" xfId="129" xr:uid="{00000000-0005-0000-0000-000030000000}"/>
    <cellStyle name="20% - Accent2 8 2" xfId="130" xr:uid="{00000000-0005-0000-0000-000031000000}"/>
    <cellStyle name="20% - Accent2 9 2" xfId="131" xr:uid="{00000000-0005-0000-0000-000032000000}"/>
    <cellStyle name="20% - Accent2_NLBU -OPERATIONS  FINANCIAL REPORT - FEB10_REV Tanya" xfId="132" xr:uid="{00000000-0005-0000-0000-000033000000}"/>
    <cellStyle name="20% - Accent3" xfId="133" xr:uid="{00000000-0005-0000-0000-000034000000}"/>
    <cellStyle name="20% - Accent3 10 2" xfId="134" xr:uid="{00000000-0005-0000-0000-000035000000}"/>
    <cellStyle name="20% - Accent3 11 2" xfId="135" xr:uid="{00000000-0005-0000-0000-000036000000}"/>
    <cellStyle name="20% - Accent3 12 2" xfId="136" xr:uid="{00000000-0005-0000-0000-000037000000}"/>
    <cellStyle name="20% - Accent3 13 2" xfId="137" xr:uid="{00000000-0005-0000-0000-000038000000}"/>
    <cellStyle name="20% - Accent3 2" xfId="138" xr:uid="{00000000-0005-0000-0000-000039000000}"/>
    <cellStyle name="20% - Accent3 2 2" xfId="139" xr:uid="{00000000-0005-0000-0000-00003A000000}"/>
    <cellStyle name="20% - Accent3 2 2 2" xfId="140" xr:uid="{00000000-0005-0000-0000-00003B000000}"/>
    <cellStyle name="20% - Accent3 2 2 2 2" xfId="141" xr:uid="{00000000-0005-0000-0000-00003C000000}"/>
    <cellStyle name="20% - Accent3 2 2 3" xfId="142" xr:uid="{00000000-0005-0000-0000-00003D000000}"/>
    <cellStyle name="20% - Accent3 2 3" xfId="143" xr:uid="{00000000-0005-0000-0000-00003E000000}"/>
    <cellStyle name="20% - Accent3 2 3 2" xfId="144" xr:uid="{00000000-0005-0000-0000-00003F000000}"/>
    <cellStyle name="20% - Accent3 3" xfId="145" xr:uid="{00000000-0005-0000-0000-000040000000}"/>
    <cellStyle name="20% - Accent3 4" xfId="146" xr:uid="{00000000-0005-0000-0000-000041000000}"/>
    <cellStyle name="20% - Accent3 5" xfId="147" xr:uid="{00000000-0005-0000-0000-000042000000}"/>
    <cellStyle name="20% - Accent3 5 2" xfId="148" xr:uid="{00000000-0005-0000-0000-000043000000}"/>
    <cellStyle name="20% - Accent3 6 2" xfId="149" xr:uid="{00000000-0005-0000-0000-000044000000}"/>
    <cellStyle name="20% - Accent3 7 2" xfId="150" xr:uid="{00000000-0005-0000-0000-000045000000}"/>
    <cellStyle name="20% - Accent3 8 2" xfId="151" xr:uid="{00000000-0005-0000-0000-000046000000}"/>
    <cellStyle name="20% - Accent3 9 2" xfId="152" xr:uid="{00000000-0005-0000-0000-000047000000}"/>
    <cellStyle name="20% - Accent3_NLBU -OPERATIONS  FINANCIAL REPORT - FEB10_REV Tanya" xfId="153" xr:uid="{00000000-0005-0000-0000-000048000000}"/>
    <cellStyle name="20% - Accent4" xfId="154" xr:uid="{00000000-0005-0000-0000-000049000000}"/>
    <cellStyle name="20% - Accent4 10 2" xfId="155" xr:uid="{00000000-0005-0000-0000-00004A000000}"/>
    <cellStyle name="20% - Accent4 11 2" xfId="156" xr:uid="{00000000-0005-0000-0000-00004B000000}"/>
    <cellStyle name="20% - Accent4 12 2" xfId="157" xr:uid="{00000000-0005-0000-0000-00004C000000}"/>
    <cellStyle name="20% - Accent4 13 2" xfId="158" xr:uid="{00000000-0005-0000-0000-00004D000000}"/>
    <cellStyle name="20% - Accent4 2" xfId="159" xr:uid="{00000000-0005-0000-0000-00004E000000}"/>
    <cellStyle name="20% - Accent4 2 2" xfId="160" xr:uid="{00000000-0005-0000-0000-00004F000000}"/>
    <cellStyle name="20% - Accent4 2 2 2" xfId="161" xr:uid="{00000000-0005-0000-0000-000050000000}"/>
    <cellStyle name="20% - Accent4 2 2 2 2" xfId="162" xr:uid="{00000000-0005-0000-0000-000051000000}"/>
    <cellStyle name="20% - Accent4 2 2 3" xfId="163" xr:uid="{00000000-0005-0000-0000-000052000000}"/>
    <cellStyle name="20% - Accent4 2 3" xfId="164" xr:uid="{00000000-0005-0000-0000-000053000000}"/>
    <cellStyle name="20% - Accent4 2 3 2" xfId="165" xr:uid="{00000000-0005-0000-0000-000054000000}"/>
    <cellStyle name="20% - Accent4 3" xfId="166" xr:uid="{00000000-0005-0000-0000-000055000000}"/>
    <cellStyle name="20% - Accent4 4" xfId="167" xr:uid="{00000000-0005-0000-0000-000056000000}"/>
    <cellStyle name="20% - Accent4 5" xfId="168" xr:uid="{00000000-0005-0000-0000-000057000000}"/>
    <cellStyle name="20% - Accent4 5 2" xfId="169" xr:uid="{00000000-0005-0000-0000-000058000000}"/>
    <cellStyle name="20% - Accent4 6 2" xfId="170" xr:uid="{00000000-0005-0000-0000-000059000000}"/>
    <cellStyle name="20% - Accent4 7 2" xfId="171" xr:uid="{00000000-0005-0000-0000-00005A000000}"/>
    <cellStyle name="20% - Accent4 8 2" xfId="172" xr:uid="{00000000-0005-0000-0000-00005B000000}"/>
    <cellStyle name="20% - Accent4 9 2" xfId="173" xr:uid="{00000000-0005-0000-0000-00005C000000}"/>
    <cellStyle name="20% - Accent4_NLBU -OPERATIONS  FINANCIAL REPORT - FEB10_REV Tanya" xfId="174" xr:uid="{00000000-0005-0000-0000-00005D000000}"/>
    <cellStyle name="20% - Accent5" xfId="175" xr:uid="{00000000-0005-0000-0000-00005E000000}"/>
    <cellStyle name="20% - Accent5 10 2" xfId="176" xr:uid="{00000000-0005-0000-0000-00005F000000}"/>
    <cellStyle name="20% - Accent5 11 2" xfId="177" xr:uid="{00000000-0005-0000-0000-000060000000}"/>
    <cellStyle name="20% - Accent5 12 2" xfId="178" xr:uid="{00000000-0005-0000-0000-000061000000}"/>
    <cellStyle name="20% - Accent5 13 2" xfId="179" xr:uid="{00000000-0005-0000-0000-000062000000}"/>
    <cellStyle name="20% - Accent5 2" xfId="180" xr:uid="{00000000-0005-0000-0000-000063000000}"/>
    <cellStyle name="20% - Accent5 2 2" xfId="181" xr:uid="{00000000-0005-0000-0000-000064000000}"/>
    <cellStyle name="20% - Accent5 2 2 2" xfId="182" xr:uid="{00000000-0005-0000-0000-000065000000}"/>
    <cellStyle name="20% - Accent5 2 2 2 2" xfId="183" xr:uid="{00000000-0005-0000-0000-000066000000}"/>
    <cellStyle name="20% - Accent5 2 2 3" xfId="184" xr:uid="{00000000-0005-0000-0000-000067000000}"/>
    <cellStyle name="20% - Accent5 2 3" xfId="185" xr:uid="{00000000-0005-0000-0000-000068000000}"/>
    <cellStyle name="20% - Accent5 2 3 2" xfId="186" xr:uid="{00000000-0005-0000-0000-000069000000}"/>
    <cellStyle name="20% - Accent5 3" xfId="187" xr:uid="{00000000-0005-0000-0000-00006A000000}"/>
    <cellStyle name="20% - Accent5 4" xfId="188" xr:uid="{00000000-0005-0000-0000-00006B000000}"/>
    <cellStyle name="20% - Accent5 5" xfId="189" xr:uid="{00000000-0005-0000-0000-00006C000000}"/>
    <cellStyle name="20% - Accent5 5 2" xfId="190" xr:uid="{00000000-0005-0000-0000-00006D000000}"/>
    <cellStyle name="20% - Accent5 6 2" xfId="191" xr:uid="{00000000-0005-0000-0000-00006E000000}"/>
    <cellStyle name="20% - Accent5 7 2" xfId="192" xr:uid="{00000000-0005-0000-0000-00006F000000}"/>
    <cellStyle name="20% - Accent5 8 2" xfId="193" xr:uid="{00000000-0005-0000-0000-000070000000}"/>
    <cellStyle name="20% - Accent5 9 2" xfId="194" xr:uid="{00000000-0005-0000-0000-000071000000}"/>
    <cellStyle name="20% - Accent5_NLBU -OPERATIONS  FINANCIAL REPORT - FEB10_REV Tanya" xfId="195" xr:uid="{00000000-0005-0000-0000-000072000000}"/>
    <cellStyle name="20% - Accent6" xfId="196" xr:uid="{00000000-0005-0000-0000-000073000000}"/>
    <cellStyle name="20% - Accent6 10 2" xfId="197" xr:uid="{00000000-0005-0000-0000-000074000000}"/>
    <cellStyle name="20% - Accent6 11 2" xfId="198" xr:uid="{00000000-0005-0000-0000-000075000000}"/>
    <cellStyle name="20% - Accent6 12 2" xfId="199" xr:uid="{00000000-0005-0000-0000-000076000000}"/>
    <cellStyle name="20% - Accent6 13 2" xfId="200" xr:uid="{00000000-0005-0000-0000-000077000000}"/>
    <cellStyle name="20% - Accent6 2" xfId="201" xr:uid="{00000000-0005-0000-0000-000078000000}"/>
    <cellStyle name="20% - Accent6 2 2" xfId="202" xr:uid="{00000000-0005-0000-0000-000079000000}"/>
    <cellStyle name="20% - Accent6 2 2 2" xfId="203" xr:uid="{00000000-0005-0000-0000-00007A000000}"/>
    <cellStyle name="20% - Accent6 2 2 2 2" xfId="204" xr:uid="{00000000-0005-0000-0000-00007B000000}"/>
    <cellStyle name="20% - Accent6 2 2 3" xfId="205" xr:uid="{00000000-0005-0000-0000-00007C000000}"/>
    <cellStyle name="20% - Accent6 2 3" xfId="206" xr:uid="{00000000-0005-0000-0000-00007D000000}"/>
    <cellStyle name="20% - Accent6 2 3 2" xfId="207" xr:uid="{00000000-0005-0000-0000-00007E000000}"/>
    <cellStyle name="20% - Accent6 3" xfId="208" xr:uid="{00000000-0005-0000-0000-00007F000000}"/>
    <cellStyle name="20% - Accent6 4" xfId="209" xr:uid="{00000000-0005-0000-0000-000080000000}"/>
    <cellStyle name="20% - Accent6 5" xfId="210" xr:uid="{00000000-0005-0000-0000-000081000000}"/>
    <cellStyle name="20% - Accent6 5 2" xfId="211" xr:uid="{00000000-0005-0000-0000-000082000000}"/>
    <cellStyle name="20% - Accent6 6 2" xfId="212" xr:uid="{00000000-0005-0000-0000-000083000000}"/>
    <cellStyle name="20% - Accent6 7 2" xfId="213" xr:uid="{00000000-0005-0000-0000-000084000000}"/>
    <cellStyle name="20% - Accent6 8 2" xfId="214" xr:uid="{00000000-0005-0000-0000-000085000000}"/>
    <cellStyle name="20% - Accent6 9 2" xfId="215" xr:uid="{00000000-0005-0000-0000-000086000000}"/>
    <cellStyle name="20% - Accent6_NLBU -OPERATIONS  FINANCIAL REPORT - FEB10_REV Tanya" xfId="216" xr:uid="{00000000-0005-0000-0000-000087000000}"/>
    <cellStyle name="40 % - Accent1 2" xfId="40" xr:uid="{00000000-0005-0000-0000-000088000000}"/>
    <cellStyle name="40 % - Accent2 2" xfId="41" xr:uid="{00000000-0005-0000-0000-000089000000}"/>
    <cellStyle name="40 % - Accent3 2" xfId="42" xr:uid="{00000000-0005-0000-0000-00008A000000}"/>
    <cellStyle name="40 % - Accent4 2" xfId="43" xr:uid="{00000000-0005-0000-0000-00008B000000}"/>
    <cellStyle name="40 % - Accent5 2" xfId="44" xr:uid="{00000000-0005-0000-0000-00008C000000}"/>
    <cellStyle name="40 % - Accent6 2" xfId="45" xr:uid="{00000000-0005-0000-0000-00008D000000}"/>
    <cellStyle name="40% - Accent1" xfId="217" xr:uid="{00000000-0005-0000-0000-00008E000000}"/>
    <cellStyle name="40% - Accent1 10 2" xfId="218" xr:uid="{00000000-0005-0000-0000-00008F000000}"/>
    <cellStyle name="40% - Accent1 11 2" xfId="219" xr:uid="{00000000-0005-0000-0000-000090000000}"/>
    <cellStyle name="40% - Accent1 12 2" xfId="220" xr:uid="{00000000-0005-0000-0000-000091000000}"/>
    <cellStyle name="40% - Accent1 13 2" xfId="221" xr:uid="{00000000-0005-0000-0000-000092000000}"/>
    <cellStyle name="40% - Accent1 2" xfId="222" xr:uid="{00000000-0005-0000-0000-000093000000}"/>
    <cellStyle name="40% - Accent1 2 2" xfId="223" xr:uid="{00000000-0005-0000-0000-000094000000}"/>
    <cellStyle name="40% - Accent1 2 2 2" xfId="224" xr:uid="{00000000-0005-0000-0000-000095000000}"/>
    <cellStyle name="40% - Accent1 2 2 2 2" xfId="225" xr:uid="{00000000-0005-0000-0000-000096000000}"/>
    <cellStyle name="40% - Accent1 2 2 3" xfId="226" xr:uid="{00000000-0005-0000-0000-000097000000}"/>
    <cellStyle name="40% - Accent1 2 3" xfId="227" xr:uid="{00000000-0005-0000-0000-000098000000}"/>
    <cellStyle name="40% - Accent1 2 3 2" xfId="228" xr:uid="{00000000-0005-0000-0000-000099000000}"/>
    <cellStyle name="40% - Accent1 3" xfId="229" xr:uid="{00000000-0005-0000-0000-00009A000000}"/>
    <cellStyle name="40% - Accent1 4" xfId="230" xr:uid="{00000000-0005-0000-0000-00009B000000}"/>
    <cellStyle name="40% - Accent1 5" xfId="231" xr:uid="{00000000-0005-0000-0000-00009C000000}"/>
    <cellStyle name="40% - Accent1 5 2" xfId="232" xr:uid="{00000000-0005-0000-0000-00009D000000}"/>
    <cellStyle name="40% - Accent1 6 2" xfId="233" xr:uid="{00000000-0005-0000-0000-00009E000000}"/>
    <cellStyle name="40% - Accent1 7 2" xfId="234" xr:uid="{00000000-0005-0000-0000-00009F000000}"/>
    <cellStyle name="40% - Accent1 8 2" xfId="235" xr:uid="{00000000-0005-0000-0000-0000A0000000}"/>
    <cellStyle name="40% - Accent1 9 2" xfId="236" xr:uid="{00000000-0005-0000-0000-0000A1000000}"/>
    <cellStyle name="40% - Accent1_NLBU -OPERATIONS  FINANCIAL REPORT - FEB10_REV Tanya" xfId="237" xr:uid="{00000000-0005-0000-0000-0000A2000000}"/>
    <cellStyle name="40% - Accent2" xfId="238" xr:uid="{00000000-0005-0000-0000-0000A3000000}"/>
    <cellStyle name="40% - Accent2 10 2" xfId="239" xr:uid="{00000000-0005-0000-0000-0000A4000000}"/>
    <cellStyle name="40% - Accent2 11 2" xfId="240" xr:uid="{00000000-0005-0000-0000-0000A5000000}"/>
    <cellStyle name="40% - Accent2 12 2" xfId="241" xr:uid="{00000000-0005-0000-0000-0000A6000000}"/>
    <cellStyle name="40% - Accent2 13 2" xfId="242" xr:uid="{00000000-0005-0000-0000-0000A7000000}"/>
    <cellStyle name="40% - Accent2 2" xfId="243" xr:uid="{00000000-0005-0000-0000-0000A8000000}"/>
    <cellStyle name="40% - Accent2 2 2" xfId="244" xr:uid="{00000000-0005-0000-0000-0000A9000000}"/>
    <cellStyle name="40% - Accent2 2 2 2" xfId="245" xr:uid="{00000000-0005-0000-0000-0000AA000000}"/>
    <cellStyle name="40% - Accent2 2 2 2 2" xfId="246" xr:uid="{00000000-0005-0000-0000-0000AB000000}"/>
    <cellStyle name="40% - Accent2 2 2 3" xfId="247" xr:uid="{00000000-0005-0000-0000-0000AC000000}"/>
    <cellStyle name="40% - Accent2 2 3" xfId="248" xr:uid="{00000000-0005-0000-0000-0000AD000000}"/>
    <cellStyle name="40% - Accent2 2 3 2" xfId="249" xr:uid="{00000000-0005-0000-0000-0000AE000000}"/>
    <cellStyle name="40% - Accent2 3" xfId="250" xr:uid="{00000000-0005-0000-0000-0000AF000000}"/>
    <cellStyle name="40% - Accent2 4" xfId="251" xr:uid="{00000000-0005-0000-0000-0000B0000000}"/>
    <cellStyle name="40% - Accent2 5" xfId="252" xr:uid="{00000000-0005-0000-0000-0000B1000000}"/>
    <cellStyle name="40% - Accent2 5 2" xfId="253" xr:uid="{00000000-0005-0000-0000-0000B2000000}"/>
    <cellStyle name="40% - Accent2 6 2" xfId="254" xr:uid="{00000000-0005-0000-0000-0000B3000000}"/>
    <cellStyle name="40% - Accent2 7 2" xfId="255" xr:uid="{00000000-0005-0000-0000-0000B4000000}"/>
    <cellStyle name="40% - Accent2 8 2" xfId="256" xr:uid="{00000000-0005-0000-0000-0000B5000000}"/>
    <cellStyle name="40% - Accent2 9 2" xfId="257" xr:uid="{00000000-0005-0000-0000-0000B6000000}"/>
    <cellStyle name="40% - Accent2_NLBU -OPERATIONS  FINANCIAL REPORT - FEB10_REV Tanya" xfId="258" xr:uid="{00000000-0005-0000-0000-0000B7000000}"/>
    <cellStyle name="40% - Accent3" xfId="259" xr:uid="{00000000-0005-0000-0000-0000B8000000}"/>
    <cellStyle name="40% - Accent3 10 2" xfId="260" xr:uid="{00000000-0005-0000-0000-0000B9000000}"/>
    <cellStyle name="40% - Accent3 11 2" xfId="261" xr:uid="{00000000-0005-0000-0000-0000BA000000}"/>
    <cellStyle name="40% - Accent3 12 2" xfId="262" xr:uid="{00000000-0005-0000-0000-0000BB000000}"/>
    <cellStyle name="40% - Accent3 13 2" xfId="263" xr:uid="{00000000-0005-0000-0000-0000BC000000}"/>
    <cellStyle name="40% - Accent3 2" xfId="264" xr:uid="{00000000-0005-0000-0000-0000BD000000}"/>
    <cellStyle name="40% - Accent3 2 2" xfId="265" xr:uid="{00000000-0005-0000-0000-0000BE000000}"/>
    <cellStyle name="40% - Accent3 2 2 2" xfId="266" xr:uid="{00000000-0005-0000-0000-0000BF000000}"/>
    <cellStyle name="40% - Accent3 2 2 2 2" xfId="267" xr:uid="{00000000-0005-0000-0000-0000C0000000}"/>
    <cellStyle name="40% - Accent3 2 2 3" xfId="268" xr:uid="{00000000-0005-0000-0000-0000C1000000}"/>
    <cellStyle name="40% - Accent3 2 3" xfId="269" xr:uid="{00000000-0005-0000-0000-0000C2000000}"/>
    <cellStyle name="40% - Accent3 2 3 2" xfId="270" xr:uid="{00000000-0005-0000-0000-0000C3000000}"/>
    <cellStyle name="40% - Accent3 3" xfId="271" xr:uid="{00000000-0005-0000-0000-0000C4000000}"/>
    <cellStyle name="40% - Accent3 4" xfId="272" xr:uid="{00000000-0005-0000-0000-0000C5000000}"/>
    <cellStyle name="40% - Accent3 5" xfId="273" xr:uid="{00000000-0005-0000-0000-0000C6000000}"/>
    <cellStyle name="40% - Accent3 5 2" xfId="274" xr:uid="{00000000-0005-0000-0000-0000C7000000}"/>
    <cellStyle name="40% - Accent3 6 2" xfId="275" xr:uid="{00000000-0005-0000-0000-0000C8000000}"/>
    <cellStyle name="40% - Accent3 7 2" xfId="276" xr:uid="{00000000-0005-0000-0000-0000C9000000}"/>
    <cellStyle name="40% - Accent3 8 2" xfId="277" xr:uid="{00000000-0005-0000-0000-0000CA000000}"/>
    <cellStyle name="40% - Accent3 9 2" xfId="278" xr:uid="{00000000-0005-0000-0000-0000CB000000}"/>
    <cellStyle name="40% - Accent3_NLBU -OPERATIONS  FINANCIAL REPORT - FEB10_REV Tanya" xfId="279" xr:uid="{00000000-0005-0000-0000-0000CC000000}"/>
    <cellStyle name="40% - Accent4" xfId="280" xr:uid="{00000000-0005-0000-0000-0000CD000000}"/>
    <cellStyle name="40% - Accent4 10 2" xfId="281" xr:uid="{00000000-0005-0000-0000-0000CE000000}"/>
    <cellStyle name="40% - Accent4 11 2" xfId="282" xr:uid="{00000000-0005-0000-0000-0000CF000000}"/>
    <cellStyle name="40% - Accent4 12 2" xfId="283" xr:uid="{00000000-0005-0000-0000-0000D0000000}"/>
    <cellStyle name="40% - Accent4 13 2" xfId="284" xr:uid="{00000000-0005-0000-0000-0000D1000000}"/>
    <cellStyle name="40% - Accent4 2" xfId="285" xr:uid="{00000000-0005-0000-0000-0000D2000000}"/>
    <cellStyle name="40% - Accent4 2 2" xfId="286" xr:uid="{00000000-0005-0000-0000-0000D3000000}"/>
    <cellStyle name="40% - Accent4 2 2 2" xfId="287" xr:uid="{00000000-0005-0000-0000-0000D4000000}"/>
    <cellStyle name="40% - Accent4 2 2 2 2" xfId="288" xr:uid="{00000000-0005-0000-0000-0000D5000000}"/>
    <cellStyle name="40% - Accent4 2 2 3" xfId="289" xr:uid="{00000000-0005-0000-0000-0000D6000000}"/>
    <cellStyle name="40% - Accent4 2 3" xfId="290" xr:uid="{00000000-0005-0000-0000-0000D7000000}"/>
    <cellStyle name="40% - Accent4 2 3 2" xfId="291" xr:uid="{00000000-0005-0000-0000-0000D8000000}"/>
    <cellStyle name="40% - Accent4 3" xfId="292" xr:uid="{00000000-0005-0000-0000-0000D9000000}"/>
    <cellStyle name="40% - Accent4 4" xfId="293" xr:uid="{00000000-0005-0000-0000-0000DA000000}"/>
    <cellStyle name="40% - Accent4 5" xfId="294" xr:uid="{00000000-0005-0000-0000-0000DB000000}"/>
    <cellStyle name="40% - Accent4 5 2" xfId="295" xr:uid="{00000000-0005-0000-0000-0000DC000000}"/>
    <cellStyle name="40% - Accent4 6 2" xfId="296" xr:uid="{00000000-0005-0000-0000-0000DD000000}"/>
    <cellStyle name="40% - Accent4 7 2" xfId="297" xr:uid="{00000000-0005-0000-0000-0000DE000000}"/>
    <cellStyle name="40% - Accent4 8 2" xfId="298" xr:uid="{00000000-0005-0000-0000-0000DF000000}"/>
    <cellStyle name="40% - Accent4 9 2" xfId="299" xr:uid="{00000000-0005-0000-0000-0000E0000000}"/>
    <cellStyle name="40% - Accent4_NLBU -OPERATIONS  FINANCIAL REPORT - FEB10_REV Tanya" xfId="300" xr:uid="{00000000-0005-0000-0000-0000E1000000}"/>
    <cellStyle name="40% - Accent5" xfId="301" xr:uid="{00000000-0005-0000-0000-0000E2000000}"/>
    <cellStyle name="40% - Accent5 10 2" xfId="302" xr:uid="{00000000-0005-0000-0000-0000E3000000}"/>
    <cellStyle name="40% - Accent5 11 2" xfId="303" xr:uid="{00000000-0005-0000-0000-0000E4000000}"/>
    <cellStyle name="40% - Accent5 12 2" xfId="304" xr:uid="{00000000-0005-0000-0000-0000E5000000}"/>
    <cellStyle name="40% - Accent5 13 2" xfId="305" xr:uid="{00000000-0005-0000-0000-0000E6000000}"/>
    <cellStyle name="40% - Accent5 2" xfId="306" xr:uid="{00000000-0005-0000-0000-0000E7000000}"/>
    <cellStyle name="40% - Accent5 2 2" xfId="307" xr:uid="{00000000-0005-0000-0000-0000E8000000}"/>
    <cellStyle name="40% - Accent5 2 2 2" xfId="308" xr:uid="{00000000-0005-0000-0000-0000E9000000}"/>
    <cellStyle name="40% - Accent5 2 2 2 2" xfId="309" xr:uid="{00000000-0005-0000-0000-0000EA000000}"/>
    <cellStyle name="40% - Accent5 2 2 3" xfId="310" xr:uid="{00000000-0005-0000-0000-0000EB000000}"/>
    <cellStyle name="40% - Accent5 2 3" xfId="311" xr:uid="{00000000-0005-0000-0000-0000EC000000}"/>
    <cellStyle name="40% - Accent5 2 3 2" xfId="312" xr:uid="{00000000-0005-0000-0000-0000ED000000}"/>
    <cellStyle name="40% - Accent5 3" xfId="313" xr:uid="{00000000-0005-0000-0000-0000EE000000}"/>
    <cellStyle name="40% - Accent5 4" xfId="314" xr:uid="{00000000-0005-0000-0000-0000EF000000}"/>
    <cellStyle name="40% - Accent5 5" xfId="315" xr:uid="{00000000-0005-0000-0000-0000F0000000}"/>
    <cellStyle name="40% - Accent5 5 2" xfId="316" xr:uid="{00000000-0005-0000-0000-0000F1000000}"/>
    <cellStyle name="40% - Accent5 6 2" xfId="317" xr:uid="{00000000-0005-0000-0000-0000F2000000}"/>
    <cellStyle name="40% - Accent5 7 2" xfId="318" xr:uid="{00000000-0005-0000-0000-0000F3000000}"/>
    <cellStyle name="40% - Accent5 8 2" xfId="319" xr:uid="{00000000-0005-0000-0000-0000F4000000}"/>
    <cellStyle name="40% - Accent5 9 2" xfId="320" xr:uid="{00000000-0005-0000-0000-0000F5000000}"/>
    <cellStyle name="40% - Accent5_NLBU -OPERATIONS  FINANCIAL REPORT - FEB10_REV Tanya" xfId="321" xr:uid="{00000000-0005-0000-0000-0000F6000000}"/>
    <cellStyle name="40% - Accent6" xfId="322" xr:uid="{00000000-0005-0000-0000-0000F7000000}"/>
    <cellStyle name="40% - Accent6 10 2" xfId="323" xr:uid="{00000000-0005-0000-0000-0000F8000000}"/>
    <cellStyle name="40% - Accent6 11 2" xfId="324" xr:uid="{00000000-0005-0000-0000-0000F9000000}"/>
    <cellStyle name="40% - Accent6 12 2" xfId="325" xr:uid="{00000000-0005-0000-0000-0000FA000000}"/>
    <cellStyle name="40% - Accent6 13 2" xfId="326" xr:uid="{00000000-0005-0000-0000-0000FB000000}"/>
    <cellStyle name="40% - Accent6 2" xfId="327" xr:uid="{00000000-0005-0000-0000-0000FC000000}"/>
    <cellStyle name="40% - Accent6 2 2" xfId="328" xr:uid="{00000000-0005-0000-0000-0000FD000000}"/>
    <cellStyle name="40% - Accent6 2 2 2" xfId="329" xr:uid="{00000000-0005-0000-0000-0000FE000000}"/>
    <cellStyle name="40% - Accent6 2 2 2 2" xfId="330" xr:uid="{00000000-0005-0000-0000-0000FF000000}"/>
    <cellStyle name="40% - Accent6 2 2 3" xfId="331" xr:uid="{00000000-0005-0000-0000-000000010000}"/>
    <cellStyle name="40% - Accent6 2 3" xfId="332" xr:uid="{00000000-0005-0000-0000-000001010000}"/>
    <cellStyle name="40% - Accent6 2 3 2" xfId="333" xr:uid="{00000000-0005-0000-0000-000002010000}"/>
    <cellStyle name="40% - Accent6 3" xfId="334" xr:uid="{00000000-0005-0000-0000-000003010000}"/>
    <cellStyle name="40% - Accent6 4" xfId="335" xr:uid="{00000000-0005-0000-0000-000004010000}"/>
    <cellStyle name="40% - Accent6 5" xfId="336" xr:uid="{00000000-0005-0000-0000-000005010000}"/>
    <cellStyle name="40% - Accent6 5 2" xfId="337" xr:uid="{00000000-0005-0000-0000-000006010000}"/>
    <cellStyle name="40% - Accent6 6 2" xfId="338" xr:uid="{00000000-0005-0000-0000-000007010000}"/>
    <cellStyle name="40% - Accent6 7 2" xfId="339" xr:uid="{00000000-0005-0000-0000-000008010000}"/>
    <cellStyle name="40% - Accent6 8 2" xfId="340" xr:uid="{00000000-0005-0000-0000-000009010000}"/>
    <cellStyle name="40% - Accent6 9 2" xfId="341" xr:uid="{00000000-0005-0000-0000-00000A010000}"/>
    <cellStyle name="40% - Accent6_NLBU -OPERATIONS  FINANCIAL REPORT - FEB10_REV Tanya" xfId="342" xr:uid="{00000000-0005-0000-0000-00000B010000}"/>
    <cellStyle name="60 % - Accent1 2" xfId="46" xr:uid="{00000000-0005-0000-0000-00000C010000}"/>
    <cellStyle name="60 % - Accent2 2" xfId="47" xr:uid="{00000000-0005-0000-0000-00000D010000}"/>
    <cellStyle name="60 % - Accent3 2" xfId="48" xr:uid="{00000000-0005-0000-0000-00000E010000}"/>
    <cellStyle name="60 % - Accent4 2" xfId="49" xr:uid="{00000000-0005-0000-0000-00000F010000}"/>
    <cellStyle name="60 % - Accent5 2" xfId="50" xr:uid="{00000000-0005-0000-0000-000010010000}"/>
    <cellStyle name="60 % - Accent6 2" xfId="51" xr:uid="{00000000-0005-0000-0000-000011010000}"/>
    <cellStyle name="60% - Accent1" xfId="343" xr:uid="{00000000-0005-0000-0000-000012010000}"/>
    <cellStyle name="60% - Accent1 10 2" xfId="344" xr:uid="{00000000-0005-0000-0000-000013010000}"/>
    <cellStyle name="60% - Accent1 11 2" xfId="345" xr:uid="{00000000-0005-0000-0000-000014010000}"/>
    <cellStyle name="60% - Accent1 12 2" xfId="346" xr:uid="{00000000-0005-0000-0000-000015010000}"/>
    <cellStyle name="60% - Accent1 13 2" xfId="347" xr:uid="{00000000-0005-0000-0000-000016010000}"/>
    <cellStyle name="60% - Accent1 2" xfId="348" xr:uid="{00000000-0005-0000-0000-000017010000}"/>
    <cellStyle name="60% - Accent1 2 2" xfId="349" xr:uid="{00000000-0005-0000-0000-000018010000}"/>
    <cellStyle name="60% - Accent1 2 2 2" xfId="350" xr:uid="{00000000-0005-0000-0000-000019010000}"/>
    <cellStyle name="60% - Accent1 2 2 2 2" xfId="351" xr:uid="{00000000-0005-0000-0000-00001A010000}"/>
    <cellStyle name="60% - Accent1 2 2 3" xfId="352" xr:uid="{00000000-0005-0000-0000-00001B010000}"/>
    <cellStyle name="60% - Accent1 2 3" xfId="353" xr:uid="{00000000-0005-0000-0000-00001C010000}"/>
    <cellStyle name="60% - Accent1 2 3 2" xfId="354" xr:uid="{00000000-0005-0000-0000-00001D010000}"/>
    <cellStyle name="60% - Accent1 3" xfId="355" xr:uid="{00000000-0005-0000-0000-00001E010000}"/>
    <cellStyle name="60% - Accent1 4" xfId="356" xr:uid="{00000000-0005-0000-0000-00001F010000}"/>
    <cellStyle name="60% - Accent1 5" xfId="357" xr:uid="{00000000-0005-0000-0000-000020010000}"/>
    <cellStyle name="60% - Accent1 5 2" xfId="358" xr:uid="{00000000-0005-0000-0000-000021010000}"/>
    <cellStyle name="60% - Accent1 6 2" xfId="359" xr:uid="{00000000-0005-0000-0000-000022010000}"/>
    <cellStyle name="60% - Accent1 7 2" xfId="360" xr:uid="{00000000-0005-0000-0000-000023010000}"/>
    <cellStyle name="60% - Accent1 8 2" xfId="361" xr:uid="{00000000-0005-0000-0000-000024010000}"/>
    <cellStyle name="60% - Accent1 9 2" xfId="362" xr:uid="{00000000-0005-0000-0000-000025010000}"/>
    <cellStyle name="60% - Accent1_NLBU -OPERATIONS  FINANCIAL REPORT - FEB10_REV Tanya" xfId="363" xr:uid="{00000000-0005-0000-0000-000026010000}"/>
    <cellStyle name="60% - Accent2" xfId="364" xr:uid="{00000000-0005-0000-0000-000027010000}"/>
    <cellStyle name="60% - Accent2 10 2" xfId="365" xr:uid="{00000000-0005-0000-0000-000028010000}"/>
    <cellStyle name="60% - Accent2 11 2" xfId="366" xr:uid="{00000000-0005-0000-0000-000029010000}"/>
    <cellStyle name="60% - Accent2 12 2" xfId="367" xr:uid="{00000000-0005-0000-0000-00002A010000}"/>
    <cellStyle name="60% - Accent2 13 2" xfId="368" xr:uid="{00000000-0005-0000-0000-00002B010000}"/>
    <cellStyle name="60% - Accent2 2" xfId="369" xr:uid="{00000000-0005-0000-0000-00002C010000}"/>
    <cellStyle name="60% - Accent2 2 2" xfId="370" xr:uid="{00000000-0005-0000-0000-00002D010000}"/>
    <cellStyle name="60% - Accent2 2 2 2" xfId="371" xr:uid="{00000000-0005-0000-0000-00002E010000}"/>
    <cellStyle name="60% - Accent2 2 2 2 2" xfId="372" xr:uid="{00000000-0005-0000-0000-00002F010000}"/>
    <cellStyle name="60% - Accent2 2 2 3" xfId="373" xr:uid="{00000000-0005-0000-0000-000030010000}"/>
    <cellStyle name="60% - Accent2 2 3" xfId="374" xr:uid="{00000000-0005-0000-0000-000031010000}"/>
    <cellStyle name="60% - Accent2 2 3 2" xfId="375" xr:uid="{00000000-0005-0000-0000-000032010000}"/>
    <cellStyle name="60% - Accent2 3" xfId="376" xr:uid="{00000000-0005-0000-0000-000033010000}"/>
    <cellStyle name="60% - Accent2 4" xfId="377" xr:uid="{00000000-0005-0000-0000-000034010000}"/>
    <cellStyle name="60% - Accent2 5" xfId="378" xr:uid="{00000000-0005-0000-0000-000035010000}"/>
    <cellStyle name="60% - Accent2 5 2" xfId="379" xr:uid="{00000000-0005-0000-0000-000036010000}"/>
    <cellStyle name="60% - Accent2 6 2" xfId="380" xr:uid="{00000000-0005-0000-0000-000037010000}"/>
    <cellStyle name="60% - Accent2 7 2" xfId="381" xr:uid="{00000000-0005-0000-0000-000038010000}"/>
    <cellStyle name="60% - Accent2 8 2" xfId="382" xr:uid="{00000000-0005-0000-0000-000039010000}"/>
    <cellStyle name="60% - Accent2 9 2" xfId="383" xr:uid="{00000000-0005-0000-0000-00003A010000}"/>
    <cellStyle name="60% - Accent2_NLBU -OPERATIONS  FINANCIAL REPORT - FEB10_REV Tanya" xfId="384" xr:uid="{00000000-0005-0000-0000-00003B010000}"/>
    <cellStyle name="60% - Accent3" xfId="385" xr:uid="{00000000-0005-0000-0000-00003C010000}"/>
    <cellStyle name="60% - Accent3 10 2" xfId="386" xr:uid="{00000000-0005-0000-0000-00003D010000}"/>
    <cellStyle name="60% - Accent3 11 2" xfId="387" xr:uid="{00000000-0005-0000-0000-00003E010000}"/>
    <cellStyle name="60% - Accent3 12 2" xfId="388" xr:uid="{00000000-0005-0000-0000-00003F010000}"/>
    <cellStyle name="60% - Accent3 13 2" xfId="389" xr:uid="{00000000-0005-0000-0000-000040010000}"/>
    <cellStyle name="60% - Accent3 2" xfId="390" xr:uid="{00000000-0005-0000-0000-000041010000}"/>
    <cellStyle name="60% - Accent3 2 2" xfId="391" xr:uid="{00000000-0005-0000-0000-000042010000}"/>
    <cellStyle name="60% - Accent3 2 2 2" xfId="392" xr:uid="{00000000-0005-0000-0000-000043010000}"/>
    <cellStyle name="60% - Accent3 2 2 2 2" xfId="393" xr:uid="{00000000-0005-0000-0000-000044010000}"/>
    <cellStyle name="60% - Accent3 2 2 3" xfId="394" xr:uid="{00000000-0005-0000-0000-000045010000}"/>
    <cellStyle name="60% - Accent3 2 3" xfId="395" xr:uid="{00000000-0005-0000-0000-000046010000}"/>
    <cellStyle name="60% - Accent3 2 3 2" xfId="396" xr:uid="{00000000-0005-0000-0000-000047010000}"/>
    <cellStyle name="60% - Accent3 3" xfId="397" xr:uid="{00000000-0005-0000-0000-000048010000}"/>
    <cellStyle name="60% - Accent3 4" xfId="398" xr:uid="{00000000-0005-0000-0000-000049010000}"/>
    <cellStyle name="60% - Accent3 5" xfId="399" xr:uid="{00000000-0005-0000-0000-00004A010000}"/>
    <cellStyle name="60% - Accent3 5 2" xfId="400" xr:uid="{00000000-0005-0000-0000-00004B010000}"/>
    <cellStyle name="60% - Accent3 6 2" xfId="401" xr:uid="{00000000-0005-0000-0000-00004C010000}"/>
    <cellStyle name="60% - Accent3 7 2" xfId="402" xr:uid="{00000000-0005-0000-0000-00004D010000}"/>
    <cellStyle name="60% - Accent3 8 2" xfId="403" xr:uid="{00000000-0005-0000-0000-00004E010000}"/>
    <cellStyle name="60% - Accent3 9 2" xfId="404" xr:uid="{00000000-0005-0000-0000-00004F010000}"/>
    <cellStyle name="60% - Accent3_NLBU -OPERATIONS  FINANCIAL REPORT - FEB10_REV Tanya" xfId="405" xr:uid="{00000000-0005-0000-0000-000050010000}"/>
    <cellStyle name="60% - Accent4" xfId="406" xr:uid="{00000000-0005-0000-0000-000051010000}"/>
    <cellStyle name="60% - Accent4 10 2" xfId="407" xr:uid="{00000000-0005-0000-0000-000052010000}"/>
    <cellStyle name="60% - Accent4 11 2" xfId="408" xr:uid="{00000000-0005-0000-0000-000053010000}"/>
    <cellStyle name="60% - Accent4 12 2" xfId="409" xr:uid="{00000000-0005-0000-0000-000054010000}"/>
    <cellStyle name="60% - Accent4 13 2" xfId="410" xr:uid="{00000000-0005-0000-0000-000055010000}"/>
    <cellStyle name="60% - Accent4 2" xfId="411" xr:uid="{00000000-0005-0000-0000-000056010000}"/>
    <cellStyle name="60% - Accent4 2 2" xfId="412" xr:uid="{00000000-0005-0000-0000-000057010000}"/>
    <cellStyle name="60% - Accent4 2 2 2" xfId="413" xr:uid="{00000000-0005-0000-0000-000058010000}"/>
    <cellStyle name="60% - Accent4 2 2 2 2" xfId="414" xr:uid="{00000000-0005-0000-0000-000059010000}"/>
    <cellStyle name="60% - Accent4 2 2 3" xfId="415" xr:uid="{00000000-0005-0000-0000-00005A010000}"/>
    <cellStyle name="60% - Accent4 2 3" xfId="416" xr:uid="{00000000-0005-0000-0000-00005B010000}"/>
    <cellStyle name="60% - Accent4 2 3 2" xfId="417" xr:uid="{00000000-0005-0000-0000-00005C010000}"/>
    <cellStyle name="60% - Accent4 3" xfId="418" xr:uid="{00000000-0005-0000-0000-00005D010000}"/>
    <cellStyle name="60% - Accent4 4" xfId="419" xr:uid="{00000000-0005-0000-0000-00005E010000}"/>
    <cellStyle name="60% - Accent4 5" xfId="420" xr:uid="{00000000-0005-0000-0000-00005F010000}"/>
    <cellStyle name="60% - Accent4 5 2" xfId="421" xr:uid="{00000000-0005-0000-0000-000060010000}"/>
    <cellStyle name="60% - Accent4 6 2" xfId="422" xr:uid="{00000000-0005-0000-0000-000061010000}"/>
    <cellStyle name="60% - Accent4 7 2" xfId="423" xr:uid="{00000000-0005-0000-0000-000062010000}"/>
    <cellStyle name="60% - Accent4 8 2" xfId="424" xr:uid="{00000000-0005-0000-0000-000063010000}"/>
    <cellStyle name="60% - Accent4 9 2" xfId="425" xr:uid="{00000000-0005-0000-0000-000064010000}"/>
    <cellStyle name="60% - Accent4_NLBU -OPERATIONS  FINANCIAL REPORT - FEB10_REV Tanya" xfId="426" xr:uid="{00000000-0005-0000-0000-000065010000}"/>
    <cellStyle name="60% - Accent5" xfId="427" xr:uid="{00000000-0005-0000-0000-000066010000}"/>
    <cellStyle name="60% - Accent5 10 2" xfId="428" xr:uid="{00000000-0005-0000-0000-000067010000}"/>
    <cellStyle name="60% - Accent5 11 2" xfId="429" xr:uid="{00000000-0005-0000-0000-000068010000}"/>
    <cellStyle name="60% - Accent5 12 2" xfId="430" xr:uid="{00000000-0005-0000-0000-000069010000}"/>
    <cellStyle name="60% - Accent5 13 2" xfId="431" xr:uid="{00000000-0005-0000-0000-00006A010000}"/>
    <cellStyle name="60% - Accent5 2" xfId="432" xr:uid="{00000000-0005-0000-0000-00006B010000}"/>
    <cellStyle name="60% - Accent5 2 2" xfId="433" xr:uid="{00000000-0005-0000-0000-00006C010000}"/>
    <cellStyle name="60% - Accent5 2 2 2" xfId="434" xr:uid="{00000000-0005-0000-0000-00006D010000}"/>
    <cellStyle name="60% - Accent5 2 2 2 2" xfId="435" xr:uid="{00000000-0005-0000-0000-00006E010000}"/>
    <cellStyle name="60% - Accent5 2 2 3" xfId="436" xr:uid="{00000000-0005-0000-0000-00006F010000}"/>
    <cellStyle name="60% - Accent5 2 3" xfId="437" xr:uid="{00000000-0005-0000-0000-000070010000}"/>
    <cellStyle name="60% - Accent5 2 3 2" xfId="438" xr:uid="{00000000-0005-0000-0000-000071010000}"/>
    <cellStyle name="60% - Accent5 3" xfId="439" xr:uid="{00000000-0005-0000-0000-000072010000}"/>
    <cellStyle name="60% - Accent5 4" xfId="440" xr:uid="{00000000-0005-0000-0000-000073010000}"/>
    <cellStyle name="60% - Accent5 5" xfId="441" xr:uid="{00000000-0005-0000-0000-000074010000}"/>
    <cellStyle name="60% - Accent5 5 2" xfId="442" xr:uid="{00000000-0005-0000-0000-000075010000}"/>
    <cellStyle name="60% - Accent5 6 2" xfId="443" xr:uid="{00000000-0005-0000-0000-000076010000}"/>
    <cellStyle name="60% - Accent5 7 2" xfId="444" xr:uid="{00000000-0005-0000-0000-000077010000}"/>
    <cellStyle name="60% - Accent5 8 2" xfId="445" xr:uid="{00000000-0005-0000-0000-000078010000}"/>
    <cellStyle name="60% - Accent5 9 2" xfId="446" xr:uid="{00000000-0005-0000-0000-000079010000}"/>
    <cellStyle name="60% - Accent5_NLBU -OPERATIONS  FINANCIAL REPORT - FEB10_REV Tanya" xfId="447" xr:uid="{00000000-0005-0000-0000-00007A010000}"/>
    <cellStyle name="60% - Accent6" xfId="448" xr:uid="{00000000-0005-0000-0000-00007B010000}"/>
    <cellStyle name="60% - Accent6 10 2" xfId="449" xr:uid="{00000000-0005-0000-0000-00007C010000}"/>
    <cellStyle name="60% - Accent6 11 2" xfId="450" xr:uid="{00000000-0005-0000-0000-00007D010000}"/>
    <cellStyle name="60% - Accent6 12 2" xfId="451" xr:uid="{00000000-0005-0000-0000-00007E010000}"/>
    <cellStyle name="60% - Accent6 13 2" xfId="452" xr:uid="{00000000-0005-0000-0000-00007F010000}"/>
    <cellStyle name="60% - Accent6 2" xfId="453" xr:uid="{00000000-0005-0000-0000-000080010000}"/>
    <cellStyle name="60% - Accent6 2 2" xfId="454" xr:uid="{00000000-0005-0000-0000-000081010000}"/>
    <cellStyle name="60% - Accent6 2 2 2" xfId="455" xr:uid="{00000000-0005-0000-0000-000082010000}"/>
    <cellStyle name="60% - Accent6 2 2 2 2" xfId="456" xr:uid="{00000000-0005-0000-0000-000083010000}"/>
    <cellStyle name="60% - Accent6 2 2 3" xfId="457" xr:uid="{00000000-0005-0000-0000-000084010000}"/>
    <cellStyle name="60% - Accent6 2 3" xfId="458" xr:uid="{00000000-0005-0000-0000-000085010000}"/>
    <cellStyle name="60% - Accent6 2 3 2" xfId="459" xr:uid="{00000000-0005-0000-0000-000086010000}"/>
    <cellStyle name="60% - Accent6 3" xfId="460" xr:uid="{00000000-0005-0000-0000-000087010000}"/>
    <cellStyle name="60% - Accent6 4" xfId="461" xr:uid="{00000000-0005-0000-0000-000088010000}"/>
    <cellStyle name="60% - Accent6 5" xfId="462" xr:uid="{00000000-0005-0000-0000-000089010000}"/>
    <cellStyle name="60% - Accent6 5 2" xfId="463" xr:uid="{00000000-0005-0000-0000-00008A010000}"/>
    <cellStyle name="60% - Accent6 6 2" xfId="464" xr:uid="{00000000-0005-0000-0000-00008B010000}"/>
    <cellStyle name="60% - Accent6 7 2" xfId="465" xr:uid="{00000000-0005-0000-0000-00008C010000}"/>
    <cellStyle name="60% - Accent6 8 2" xfId="466" xr:uid="{00000000-0005-0000-0000-00008D010000}"/>
    <cellStyle name="60% - Accent6 9 2" xfId="467" xr:uid="{00000000-0005-0000-0000-00008E010000}"/>
    <cellStyle name="60% - Accent6_NLBU -OPERATIONS  FINANCIAL REPORT - FEB10_REV Tanya" xfId="468" xr:uid="{00000000-0005-0000-0000-00008F010000}"/>
    <cellStyle name="Accent1 10 2" xfId="469" xr:uid="{00000000-0005-0000-0000-000090010000}"/>
    <cellStyle name="Accent1 11 2" xfId="470" xr:uid="{00000000-0005-0000-0000-000091010000}"/>
    <cellStyle name="Accent1 12 2" xfId="471" xr:uid="{00000000-0005-0000-0000-000092010000}"/>
    <cellStyle name="Accent1 13 2" xfId="472" xr:uid="{00000000-0005-0000-0000-000093010000}"/>
    <cellStyle name="Accent1 2" xfId="473" xr:uid="{00000000-0005-0000-0000-000094010000}"/>
    <cellStyle name="Accent1 2 2" xfId="474" xr:uid="{00000000-0005-0000-0000-000095010000}"/>
    <cellStyle name="Accent1 2 2 2" xfId="475" xr:uid="{00000000-0005-0000-0000-000096010000}"/>
    <cellStyle name="Accent1 2 2 2 2" xfId="476" xr:uid="{00000000-0005-0000-0000-000097010000}"/>
    <cellStyle name="Accent1 2 2 3" xfId="477" xr:uid="{00000000-0005-0000-0000-000098010000}"/>
    <cellStyle name="Accent1 2 3" xfId="478" xr:uid="{00000000-0005-0000-0000-000099010000}"/>
    <cellStyle name="Accent1 2 3 2" xfId="479" xr:uid="{00000000-0005-0000-0000-00009A010000}"/>
    <cellStyle name="Accent1 3" xfId="480" xr:uid="{00000000-0005-0000-0000-00009B010000}"/>
    <cellStyle name="Accent1 4" xfId="481" xr:uid="{00000000-0005-0000-0000-00009C010000}"/>
    <cellStyle name="Accent1 5" xfId="482" xr:uid="{00000000-0005-0000-0000-00009D010000}"/>
    <cellStyle name="Accent1 5 2" xfId="483" xr:uid="{00000000-0005-0000-0000-00009E010000}"/>
    <cellStyle name="Accent1 6" xfId="52" xr:uid="{00000000-0005-0000-0000-00009F010000}"/>
    <cellStyle name="Accent1 6 2" xfId="484" xr:uid="{00000000-0005-0000-0000-0000A0010000}"/>
    <cellStyle name="Accent1 7 2" xfId="485" xr:uid="{00000000-0005-0000-0000-0000A1010000}"/>
    <cellStyle name="Accent1 8 2" xfId="486" xr:uid="{00000000-0005-0000-0000-0000A2010000}"/>
    <cellStyle name="Accent1 9 2" xfId="487" xr:uid="{00000000-0005-0000-0000-0000A3010000}"/>
    <cellStyle name="Accent2 10 2" xfId="488" xr:uid="{00000000-0005-0000-0000-0000A4010000}"/>
    <cellStyle name="Accent2 11 2" xfId="489" xr:uid="{00000000-0005-0000-0000-0000A5010000}"/>
    <cellStyle name="Accent2 12 2" xfId="490" xr:uid="{00000000-0005-0000-0000-0000A6010000}"/>
    <cellStyle name="Accent2 13 2" xfId="491" xr:uid="{00000000-0005-0000-0000-0000A7010000}"/>
    <cellStyle name="Accent2 2" xfId="492" xr:uid="{00000000-0005-0000-0000-0000A8010000}"/>
    <cellStyle name="Accent2 2 2" xfId="493" xr:uid="{00000000-0005-0000-0000-0000A9010000}"/>
    <cellStyle name="Accent2 2 2 2" xfId="494" xr:uid="{00000000-0005-0000-0000-0000AA010000}"/>
    <cellStyle name="Accent2 2 2 2 2" xfId="495" xr:uid="{00000000-0005-0000-0000-0000AB010000}"/>
    <cellStyle name="Accent2 2 2 3" xfId="496" xr:uid="{00000000-0005-0000-0000-0000AC010000}"/>
    <cellStyle name="Accent2 2 3" xfId="497" xr:uid="{00000000-0005-0000-0000-0000AD010000}"/>
    <cellStyle name="Accent2 2 3 2" xfId="498" xr:uid="{00000000-0005-0000-0000-0000AE010000}"/>
    <cellStyle name="Accent2 3" xfId="499" xr:uid="{00000000-0005-0000-0000-0000AF010000}"/>
    <cellStyle name="Accent2 4" xfId="500" xr:uid="{00000000-0005-0000-0000-0000B0010000}"/>
    <cellStyle name="Accent2 5" xfId="501" xr:uid="{00000000-0005-0000-0000-0000B1010000}"/>
    <cellStyle name="Accent2 5 2" xfId="502" xr:uid="{00000000-0005-0000-0000-0000B2010000}"/>
    <cellStyle name="Accent2 6" xfId="53" xr:uid="{00000000-0005-0000-0000-0000B3010000}"/>
    <cellStyle name="Accent2 6 2" xfId="503" xr:uid="{00000000-0005-0000-0000-0000B4010000}"/>
    <cellStyle name="Accent2 7 2" xfId="504" xr:uid="{00000000-0005-0000-0000-0000B5010000}"/>
    <cellStyle name="Accent2 8 2" xfId="505" xr:uid="{00000000-0005-0000-0000-0000B6010000}"/>
    <cellStyle name="Accent2 9 2" xfId="506" xr:uid="{00000000-0005-0000-0000-0000B7010000}"/>
    <cellStyle name="Accent3 10 2" xfId="507" xr:uid="{00000000-0005-0000-0000-0000B8010000}"/>
    <cellStyle name="Accent3 11 2" xfId="508" xr:uid="{00000000-0005-0000-0000-0000B9010000}"/>
    <cellStyle name="Accent3 12 2" xfId="509" xr:uid="{00000000-0005-0000-0000-0000BA010000}"/>
    <cellStyle name="Accent3 13 2" xfId="510" xr:uid="{00000000-0005-0000-0000-0000BB010000}"/>
    <cellStyle name="Accent3 2" xfId="511" xr:uid="{00000000-0005-0000-0000-0000BC010000}"/>
    <cellStyle name="Accent3 2 2" xfId="512" xr:uid="{00000000-0005-0000-0000-0000BD010000}"/>
    <cellStyle name="Accent3 2 2 2" xfId="513" xr:uid="{00000000-0005-0000-0000-0000BE010000}"/>
    <cellStyle name="Accent3 2 2 2 2" xfId="514" xr:uid="{00000000-0005-0000-0000-0000BF010000}"/>
    <cellStyle name="Accent3 2 2 3" xfId="515" xr:uid="{00000000-0005-0000-0000-0000C0010000}"/>
    <cellStyle name="Accent3 2 3" xfId="516" xr:uid="{00000000-0005-0000-0000-0000C1010000}"/>
    <cellStyle name="Accent3 2 3 2" xfId="517" xr:uid="{00000000-0005-0000-0000-0000C2010000}"/>
    <cellStyle name="Accent3 3" xfId="518" xr:uid="{00000000-0005-0000-0000-0000C3010000}"/>
    <cellStyle name="Accent3 4" xfId="519" xr:uid="{00000000-0005-0000-0000-0000C4010000}"/>
    <cellStyle name="Accent3 5" xfId="520" xr:uid="{00000000-0005-0000-0000-0000C5010000}"/>
    <cellStyle name="Accent3 5 2" xfId="521" xr:uid="{00000000-0005-0000-0000-0000C6010000}"/>
    <cellStyle name="Accent3 6" xfId="54" xr:uid="{00000000-0005-0000-0000-0000C7010000}"/>
    <cellStyle name="Accent3 6 2" xfId="522" xr:uid="{00000000-0005-0000-0000-0000C8010000}"/>
    <cellStyle name="Accent3 7 2" xfId="523" xr:uid="{00000000-0005-0000-0000-0000C9010000}"/>
    <cellStyle name="Accent3 8 2" xfId="524" xr:uid="{00000000-0005-0000-0000-0000CA010000}"/>
    <cellStyle name="Accent3 9 2" xfId="525" xr:uid="{00000000-0005-0000-0000-0000CB010000}"/>
    <cellStyle name="Accent4 10 2" xfId="526" xr:uid="{00000000-0005-0000-0000-0000CC010000}"/>
    <cellStyle name="Accent4 11 2" xfId="527" xr:uid="{00000000-0005-0000-0000-0000CD010000}"/>
    <cellStyle name="Accent4 12 2" xfId="528" xr:uid="{00000000-0005-0000-0000-0000CE010000}"/>
    <cellStyle name="Accent4 13 2" xfId="529" xr:uid="{00000000-0005-0000-0000-0000CF010000}"/>
    <cellStyle name="Accent4 2" xfId="530" xr:uid="{00000000-0005-0000-0000-0000D0010000}"/>
    <cellStyle name="Accent4 2 2" xfId="531" xr:uid="{00000000-0005-0000-0000-0000D1010000}"/>
    <cellStyle name="Accent4 2 2 2" xfId="532" xr:uid="{00000000-0005-0000-0000-0000D2010000}"/>
    <cellStyle name="Accent4 2 2 2 2" xfId="533" xr:uid="{00000000-0005-0000-0000-0000D3010000}"/>
    <cellStyle name="Accent4 2 2 3" xfId="534" xr:uid="{00000000-0005-0000-0000-0000D4010000}"/>
    <cellStyle name="Accent4 2 3" xfId="535" xr:uid="{00000000-0005-0000-0000-0000D5010000}"/>
    <cellStyle name="Accent4 2 3 2" xfId="536" xr:uid="{00000000-0005-0000-0000-0000D6010000}"/>
    <cellStyle name="Accent4 3" xfId="537" xr:uid="{00000000-0005-0000-0000-0000D7010000}"/>
    <cellStyle name="Accent4 4" xfId="538" xr:uid="{00000000-0005-0000-0000-0000D8010000}"/>
    <cellStyle name="Accent4 5" xfId="539" xr:uid="{00000000-0005-0000-0000-0000D9010000}"/>
    <cellStyle name="Accent4 5 2" xfId="540" xr:uid="{00000000-0005-0000-0000-0000DA010000}"/>
    <cellStyle name="Accent4 6" xfId="55" xr:uid="{00000000-0005-0000-0000-0000DB010000}"/>
    <cellStyle name="Accent4 6 2" xfId="541" xr:uid="{00000000-0005-0000-0000-0000DC010000}"/>
    <cellStyle name="Accent4 7 2" xfId="542" xr:uid="{00000000-0005-0000-0000-0000DD010000}"/>
    <cellStyle name="Accent4 8 2" xfId="543" xr:uid="{00000000-0005-0000-0000-0000DE010000}"/>
    <cellStyle name="Accent4 9 2" xfId="544" xr:uid="{00000000-0005-0000-0000-0000DF010000}"/>
    <cellStyle name="Accent5 10 2" xfId="545" xr:uid="{00000000-0005-0000-0000-0000E0010000}"/>
    <cellStyle name="Accent5 11 2" xfId="546" xr:uid="{00000000-0005-0000-0000-0000E1010000}"/>
    <cellStyle name="Accent5 12 2" xfId="547" xr:uid="{00000000-0005-0000-0000-0000E2010000}"/>
    <cellStyle name="Accent5 13 2" xfId="548" xr:uid="{00000000-0005-0000-0000-0000E3010000}"/>
    <cellStyle name="Accent5 2" xfId="549" xr:uid="{00000000-0005-0000-0000-0000E4010000}"/>
    <cellStyle name="Accent5 2 2" xfId="550" xr:uid="{00000000-0005-0000-0000-0000E5010000}"/>
    <cellStyle name="Accent5 2 2 2" xfId="551" xr:uid="{00000000-0005-0000-0000-0000E6010000}"/>
    <cellStyle name="Accent5 2 2 2 2" xfId="552" xr:uid="{00000000-0005-0000-0000-0000E7010000}"/>
    <cellStyle name="Accent5 2 2 3" xfId="553" xr:uid="{00000000-0005-0000-0000-0000E8010000}"/>
    <cellStyle name="Accent5 2 3" xfId="554" xr:uid="{00000000-0005-0000-0000-0000E9010000}"/>
    <cellStyle name="Accent5 2 3 2" xfId="555" xr:uid="{00000000-0005-0000-0000-0000EA010000}"/>
    <cellStyle name="Accent5 3" xfId="556" xr:uid="{00000000-0005-0000-0000-0000EB010000}"/>
    <cellStyle name="Accent5 4" xfId="557" xr:uid="{00000000-0005-0000-0000-0000EC010000}"/>
    <cellStyle name="Accent5 5" xfId="558" xr:uid="{00000000-0005-0000-0000-0000ED010000}"/>
    <cellStyle name="Accent5 5 2" xfId="559" xr:uid="{00000000-0005-0000-0000-0000EE010000}"/>
    <cellStyle name="Accent5 6" xfId="56" xr:uid="{00000000-0005-0000-0000-0000EF010000}"/>
    <cellStyle name="Accent5 6 2" xfId="560" xr:uid="{00000000-0005-0000-0000-0000F0010000}"/>
    <cellStyle name="Accent5 7 2" xfId="561" xr:uid="{00000000-0005-0000-0000-0000F1010000}"/>
    <cellStyle name="Accent5 8 2" xfId="562" xr:uid="{00000000-0005-0000-0000-0000F2010000}"/>
    <cellStyle name="Accent5 9 2" xfId="563" xr:uid="{00000000-0005-0000-0000-0000F3010000}"/>
    <cellStyle name="Accent6 10 2" xfId="564" xr:uid="{00000000-0005-0000-0000-0000F4010000}"/>
    <cellStyle name="Accent6 11 2" xfId="565" xr:uid="{00000000-0005-0000-0000-0000F5010000}"/>
    <cellStyle name="Accent6 12 2" xfId="566" xr:uid="{00000000-0005-0000-0000-0000F6010000}"/>
    <cellStyle name="Accent6 13 2" xfId="567" xr:uid="{00000000-0005-0000-0000-0000F7010000}"/>
    <cellStyle name="Accent6 2" xfId="568" xr:uid="{00000000-0005-0000-0000-0000F8010000}"/>
    <cellStyle name="Accent6 2 2" xfId="569" xr:uid="{00000000-0005-0000-0000-0000F9010000}"/>
    <cellStyle name="Accent6 2 2 2" xfId="570" xr:uid="{00000000-0005-0000-0000-0000FA010000}"/>
    <cellStyle name="Accent6 2 2 2 2" xfId="571" xr:uid="{00000000-0005-0000-0000-0000FB010000}"/>
    <cellStyle name="Accent6 2 2 3" xfId="572" xr:uid="{00000000-0005-0000-0000-0000FC010000}"/>
    <cellStyle name="Accent6 2 3" xfId="573" xr:uid="{00000000-0005-0000-0000-0000FD010000}"/>
    <cellStyle name="Accent6 2 3 2" xfId="574" xr:uid="{00000000-0005-0000-0000-0000FE010000}"/>
    <cellStyle name="Accent6 3" xfId="575" xr:uid="{00000000-0005-0000-0000-0000FF010000}"/>
    <cellStyle name="Accent6 4" xfId="576" xr:uid="{00000000-0005-0000-0000-000000020000}"/>
    <cellStyle name="Accent6 5" xfId="577" xr:uid="{00000000-0005-0000-0000-000001020000}"/>
    <cellStyle name="Accent6 5 2" xfId="578" xr:uid="{00000000-0005-0000-0000-000002020000}"/>
    <cellStyle name="Accent6 6" xfId="57" xr:uid="{00000000-0005-0000-0000-000003020000}"/>
    <cellStyle name="Accent6 6 2" xfId="579" xr:uid="{00000000-0005-0000-0000-000004020000}"/>
    <cellStyle name="Accent6 7 2" xfId="580" xr:uid="{00000000-0005-0000-0000-000005020000}"/>
    <cellStyle name="Accent6 8 2" xfId="581" xr:uid="{00000000-0005-0000-0000-000006020000}"/>
    <cellStyle name="Accent6 9 2" xfId="582" xr:uid="{00000000-0005-0000-0000-000007020000}"/>
    <cellStyle name="Avertissement 2" xfId="76" xr:uid="{00000000-0005-0000-0000-000008020000}"/>
    <cellStyle name="Bad" xfId="583" xr:uid="{00000000-0005-0000-0000-000009020000}"/>
    <cellStyle name="Bad 10 2" xfId="584" xr:uid="{00000000-0005-0000-0000-00000A020000}"/>
    <cellStyle name="Bad 11 2" xfId="585" xr:uid="{00000000-0005-0000-0000-00000B020000}"/>
    <cellStyle name="Bad 12 2" xfId="586" xr:uid="{00000000-0005-0000-0000-00000C020000}"/>
    <cellStyle name="Bad 13 2" xfId="587" xr:uid="{00000000-0005-0000-0000-00000D020000}"/>
    <cellStyle name="Bad 2" xfId="588" xr:uid="{00000000-0005-0000-0000-00000E020000}"/>
    <cellStyle name="Bad 2 2" xfId="589" xr:uid="{00000000-0005-0000-0000-00000F020000}"/>
    <cellStyle name="Bad 2 2 2" xfId="590" xr:uid="{00000000-0005-0000-0000-000010020000}"/>
    <cellStyle name="Bad 2 2 2 2" xfId="591" xr:uid="{00000000-0005-0000-0000-000011020000}"/>
    <cellStyle name="Bad 2 2 3" xfId="592" xr:uid="{00000000-0005-0000-0000-000012020000}"/>
    <cellStyle name="Bad 2 3" xfId="593" xr:uid="{00000000-0005-0000-0000-000013020000}"/>
    <cellStyle name="Bad 2 3 2" xfId="594" xr:uid="{00000000-0005-0000-0000-000014020000}"/>
    <cellStyle name="Bad 3" xfId="595" xr:uid="{00000000-0005-0000-0000-000015020000}"/>
    <cellStyle name="Bad 4" xfId="596" xr:uid="{00000000-0005-0000-0000-000016020000}"/>
    <cellStyle name="Bad 5" xfId="597" xr:uid="{00000000-0005-0000-0000-000017020000}"/>
    <cellStyle name="Bad 5 2" xfId="598" xr:uid="{00000000-0005-0000-0000-000018020000}"/>
    <cellStyle name="Bad 6 2" xfId="599" xr:uid="{00000000-0005-0000-0000-000019020000}"/>
    <cellStyle name="Bad 7 2" xfId="600" xr:uid="{00000000-0005-0000-0000-00001A020000}"/>
    <cellStyle name="Bad 8 2" xfId="601" xr:uid="{00000000-0005-0000-0000-00001B020000}"/>
    <cellStyle name="Bad 9 2" xfId="602" xr:uid="{00000000-0005-0000-0000-00001C020000}"/>
    <cellStyle name="Bad_NLBU -OPERATIONS  FINANCIAL REPORT - FEB10_REV Tanya" xfId="603" xr:uid="{00000000-0005-0000-0000-00001D020000}"/>
    <cellStyle name="Calcul 2" xfId="59" xr:uid="{00000000-0005-0000-0000-00001E020000}"/>
    <cellStyle name="Calculation" xfId="604" xr:uid="{00000000-0005-0000-0000-00001F020000}"/>
    <cellStyle name="Calculation 10 2" xfId="605" xr:uid="{00000000-0005-0000-0000-000020020000}"/>
    <cellStyle name="Calculation 11 2" xfId="606" xr:uid="{00000000-0005-0000-0000-000021020000}"/>
    <cellStyle name="Calculation 12 2" xfId="607" xr:uid="{00000000-0005-0000-0000-000022020000}"/>
    <cellStyle name="Calculation 13 2" xfId="608" xr:uid="{00000000-0005-0000-0000-000023020000}"/>
    <cellStyle name="Calculation 2" xfId="609" xr:uid="{00000000-0005-0000-0000-000024020000}"/>
    <cellStyle name="Calculation 2 2" xfId="610" xr:uid="{00000000-0005-0000-0000-000025020000}"/>
    <cellStyle name="Calculation 2 2 2" xfId="611" xr:uid="{00000000-0005-0000-0000-000026020000}"/>
    <cellStyle name="Calculation 2 2 2 2" xfId="612" xr:uid="{00000000-0005-0000-0000-000027020000}"/>
    <cellStyle name="Calculation 2 2 3" xfId="613" xr:uid="{00000000-0005-0000-0000-000028020000}"/>
    <cellStyle name="Calculation 2 2 4" xfId="614" xr:uid="{00000000-0005-0000-0000-000029020000}"/>
    <cellStyle name="Calculation 2 2 5" xfId="615" xr:uid="{00000000-0005-0000-0000-00002A020000}"/>
    <cellStyle name="Calculation 2 2 6" xfId="616" xr:uid="{00000000-0005-0000-0000-00002B020000}"/>
    <cellStyle name="Calculation 2 3" xfId="617" xr:uid="{00000000-0005-0000-0000-00002C020000}"/>
    <cellStyle name="Calculation 2 3 2" xfId="618" xr:uid="{00000000-0005-0000-0000-00002D020000}"/>
    <cellStyle name="Calculation 3" xfId="619" xr:uid="{00000000-0005-0000-0000-00002E020000}"/>
    <cellStyle name="Calculation 3 2" xfId="620" xr:uid="{00000000-0005-0000-0000-00002F020000}"/>
    <cellStyle name="Calculation 3 3" xfId="621" xr:uid="{00000000-0005-0000-0000-000030020000}"/>
    <cellStyle name="Calculation 3 4" xfId="622" xr:uid="{00000000-0005-0000-0000-000031020000}"/>
    <cellStyle name="Calculation 3_RTD and LMU" xfId="623" xr:uid="{00000000-0005-0000-0000-000032020000}"/>
    <cellStyle name="Calculation 4" xfId="624" xr:uid="{00000000-0005-0000-0000-000033020000}"/>
    <cellStyle name="Calculation 4 2" xfId="625" xr:uid="{00000000-0005-0000-0000-000034020000}"/>
    <cellStyle name="Calculation 4 3" xfId="626" xr:uid="{00000000-0005-0000-0000-000035020000}"/>
    <cellStyle name="Calculation 4 4" xfId="627" xr:uid="{00000000-0005-0000-0000-000036020000}"/>
    <cellStyle name="Calculation 4_RTD and LMU" xfId="628" xr:uid="{00000000-0005-0000-0000-000037020000}"/>
    <cellStyle name="Calculation 5" xfId="629" xr:uid="{00000000-0005-0000-0000-000038020000}"/>
    <cellStyle name="Calculation 5 2" xfId="630" xr:uid="{00000000-0005-0000-0000-000039020000}"/>
    <cellStyle name="Calculation 6 2" xfId="631" xr:uid="{00000000-0005-0000-0000-00003A020000}"/>
    <cellStyle name="Calculation 7 2" xfId="632" xr:uid="{00000000-0005-0000-0000-00003B020000}"/>
    <cellStyle name="Calculation 8 2" xfId="633" xr:uid="{00000000-0005-0000-0000-00003C020000}"/>
    <cellStyle name="Calculation 9 2" xfId="634" xr:uid="{00000000-0005-0000-0000-00003D020000}"/>
    <cellStyle name="Calculation_HC by Dept - VP rollup Feb 2010 -  RD profile" xfId="635" xr:uid="{00000000-0005-0000-0000-00003E020000}"/>
    <cellStyle name="Cellule liée 2" xfId="70" xr:uid="{00000000-0005-0000-0000-00003F020000}"/>
    <cellStyle name="Check Cell" xfId="636" xr:uid="{00000000-0005-0000-0000-000040020000}"/>
    <cellStyle name="Check Cell 10 2" xfId="637" xr:uid="{00000000-0005-0000-0000-000041020000}"/>
    <cellStyle name="Check Cell 11 2" xfId="638" xr:uid="{00000000-0005-0000-0000-000042020000}"/>
    <cellStyle name="Check Cell 12 2" xfId="639" xr:uid="{00000000-0005-0000-0000-000043020000}"/>
    <cellStyle name="Check Cell 13 2" xfId="640" xr:uid="{00000000-0005-0000-0000-000044020000}"/>
    <cellStyle name="Check Cell 2" xfId="641" xr:uid="{00000000-0005-0000-0000-000045020000}"/>
    <cellStyle name="Check Cell 2 2" xfId="642" xr:uid="{00000000-0005-0000-0000-000046020000}"/>
    <cellStyle name="Check Cell 2 2 2" xfId="643" xr:uid="{00000000-0005-0000-0000-000047020000}"/>
    <cellStyle name="Check Cell 2 2 2 2" xfId="644" xr:uid="{00000000-0005-0000-0000-000048020000}"/>
    <cellStyle name="Check Cell 2 2 3" xfId="645" xr:uid="{00000000-0005-0000-0000-000049020000}"/>
    <cellStyle name="Check Cell 2 3" xfId="646" xr:uid="{00000000-0005-0000-0000-00004A020000}"/>
    <cellStyle name="Check Cell 2 3 2" xfId="647" xr:uid="{00000000-0005-0000-0000-00004B020000}"/>
    <cellStyle name="Check Cell 3" xfId="648" xr:uid="{00000000-0005-0000-0000-00004C020000}"/>
    <cellStyle name="Check Cell 4" xfId="649" xr:uid="{00000000-0005-0000-0000-00004D020000}"/>
    <cellStyle name="Check Cell 5" xfId="650" xr:uid="{00000000-0005-0000-0000-00004E020000}"/>
    <cellStyle name="Check Cell 5 2" xfId="651" xr:uid="{00000000-0005-0000-0000-00004F020000}"/>
    <cellStyle name="Check Cell 6 2" xfId="652" xr:uid="{00000000-0005-0000-0000-000050020000}"/>
    <cellStyle name="Check Cell 7 2" xfId="653" xr:uid="{00000000-0005-0000-0000-000051020000}"/>
    <cellStyle name="Check Cell 8 2" xfId="654" xr:uid="{00000000-0005-0000-0000-000052020000}"/>
    <cellStyle name="Check Cell 9 2" xfId="655" xr:uid="{00000000-0005-0000-0000-000053020000}"/>
    <cellStyle name="Check Cell_HC by Dept - VP rollup Feb 2010 -  RD profile" xfId="656" xr:uid="{00000000-0005-0000-0000-000054020000}"/>
    <cellStyle name="Comma 2" xfId="5" xr:uid="{00000000-0005-0000-0000-000055020000}"/>
    <cellStyle name="Comma 2 2" xfId="658" xr:uid="{00000000-0005-0000-0000-000056020000}"/>
    <cellStyle name="Comma 2 3" xfId="659" xr:uid="{00000000-0005-0000-0000-000057020000}"/>
    <cellStyle name="Comma 2 4" xfId="660" xr:uid="{00000000-0005-0000-0000-000058020000}"/>
    <cellStyle name="Comma 2 5" xfId="661" xr:uid="{00000000-0005-0000-0000-000059020000}"/>
    <cellStyle name="Comma 2 6" xfId="657" xr:uid="{00000000-0005-0000-0000-00005A020000}"/>
    <cellStyle name="Comma 3" xfId="662" xr:uid="{00000000-0005-0000-0000-00005B020000}"/>
    <cellStyle name="Comma 4" xfId="61" xr:uid="{00000000-0005-0000-0000-00005C020000}"/>
    <cellStyle name="Comma 5" xfId="663" xr:uid="{00000000-0005-0000-0000-00005D020000}"/>
    <cellStyle name="Comma_Decomm March 2010 Costflow" xfId="664" xr:uid="{00000000-0005-0000-0000-00005E020000}"/>
    <cellStyle name="Commentaire 2" xfId="81" xr:uid="{00000000-0005-0000-0000-00005F020000}"/>
    <cellStyle name="Commentaire 3" xfId="72" xr:uid="{00000000-0005-0000-0000-000060020000}"/>
    <cellStyle name="Currency 2" xfId="6" xr:uid="{00000000-0005-0000-0000-000061020000}"/>
    <cellStyle name="Entrée 2" xfId="69" xr:uid="{00000000-0005-0000-0000-000062020000}"/>
    <cellStyle name="Euro" xfId="14" xr:uid="{00000000-0005-0000-0000-000063020000}"/>
    <cellStyle name="Explanatory Text" xfId="665" xr:uid="{00000000-0005-0000-0000-000064020000}"/>
    <cellStyle name="Explanatory Text 10 2" xfId="666" xr:uid="{00000000-0005-0000-0000-000065020000}"/>
    <cellStyle name="Explanatory Text 11 2" xfId="667" xr:uid="{00000000-0005-0000-0000-000066020000}"/>
    <cellStyle name="Explanatory Text 12 2" xfId="668" xr:uid="{00000000-0005-0000-0000-000067020000}"/>
    <cellStyle name="Explanatory Text 13 2" xfId="669" xr:uid="{00000000-0005-0000-0000-000068020000}"/>
    <cellStyle name="Explanatory Text 2" xfId="670" xr:uid="{00000000-0005-0000-0000-000069020000}"/>
    <cellStyle name="Explanatory Text 2 2" xfId="671" xr:uid="{00000000-0005-0000-0000-00006A020000}"/>
    <cellStyle name="Explanatory Text 2 2 2" xfId="672" xr:uid="{00000000-0005-0000-0000-00006B020000}"/>
    <cellStyle name="Explanatory Text 2 2 2 2" xfId="673" xr:uid="{00000000-0005-0000-0000-00006C020000}"/>
    <cellStyle name="Explanatory Text 2 2 3" xfId="674" xr:uid="{00000000-0005-0000-0000-00006D020000}"/>
    <cellStyle name="Explanatory Text 2 3" xfId="675" xr:uid="{00000000-0005-0000-0000-00006E020000}"/>
    <cellStyle name="Explanatory Text 2 3 2" xfId="676" xr:uid="{00000000-0005-0000-0000-00006F020000}"/>
    <cellStyle name="Explanatory Text 3" xfId="677" xr:uid="{00000000-0005-0000-0000-000070020000}"/>
    <cellStyle name="Explanatory Text 4" xfId="678" xr:uid="{00000000-0005-0000-0000-000071020000}"/>
    <cellStyle name="Explanatory Text 5" xfId="679" xr:uid="{00000000-0005-0000-0000-000072020000}"/>
    <cellStyle name="Explanatory Text 5 2" xfId="680" xr:uid="{00000000-0005-0000-0000-000073020000}"/>
    <cellStyle name="Explanatory Text 6 2" xfId="681" xr:uid="{00000000-0005-0000-0000-000074020000}"/>
    <cellStyle name="Explanatory Text 7 2" xfId="682" xr:uid="{00000000-0005-0000-0000-000075020000}"/>
    <cellStyle name="Explanatory Text 8 2" xfId="683" xr:uid="{00000000-0005-0000-0000-000076020000}"/>
    <cellStyle name="Explanatory Text 9 2" xfId="684" xr:uid="{00000000-0005-0000-0000-000077020000}"/>
    <cellStyle name="Explanatory Text_NLBU -OPERATIONS  FINANCIAL REPORT - FEB10_REV Tanya" xfId="685" xr:uid="{00000000-0005-0000-0000-000078020000}"/>
    <cellStyle name="Good" xfId="686" xr:uid="{00000000-0005-0000-0000-000079020000}"/>
    <cellStyle name="Good 10 2" xfId="687" xr:uid="{00000000-0005-0000-0000-00007A020000}"/>
    <cellStyle name="Good 11 2" xfId="688" xr:uid="{00000000-0005-0000-0000-00007B020000}"/>
    <cellStyle name="Good 12 2" xfId="689" xr:uid="{00000000-0005-0000-0000-00007C020000}"/>
    <cellStyle name="Good 13 2" xfId="690" xr:uid="{00000000-0005-0000-0000-00007D020000}"/>
    <cellStyle name="Good 2" xfId="691" xr:uid="{00000000-0005-0000-0000-00007E020000}"/>
    <cellStyle name="Good 2 2" xfId="692" xr:uid="{00000000-0005-0000-0000-00007F020000}"/>
    <cellStyle name="Good 2 2 2" xfId="693" xr:uid="{00000000-0005-0000-0000-000080020000}"/>
    <cellStyle name="Good 2 2 2 2" xfId="694" xr:uid="{00000000-0005-0000-0000-000081020000}"/>
    <cellStyle name="Good 2 2 3" xfId="695" xr:uid="{00000000-0005-0000-0000-000082020000}"/>
    <cellStyle name="Good 2 3" xfId="696" xr:uid="{00000000-0005-0000-0000-000083020000}"/>
    <cellStyle name="Good 2 3 2" xfId="697" xr:uid="{00000000-0005-0000-0000-000084020000}"/>
    <cellStyle name="Good 3" xfId="698" xr:uid="{00000000-0005-0000-0000-000085020000}"/>
    <cellStyle name="Good 4" xfId="699" xr:uid="{00000000-0005-0000-0000-000086020000}"/>
    <cellStyle name="Good 5" xfId="700" xr:uid="{00000000-0005-0000-0000-000087020000}"/>
    <cellStyle name="Good 5 2" xfId="701" xr:uid="{00000000-0005-0000-0000-000088020000}"/>
    <cellStyle name="Good 6 2" xfId="702" xr:uid="{00000000-0005-0000-0000-000089020000}"/>
    <cellStyle name="Good 7 2" xfId="703" xr:uid="{00000000-0005-0000-0000-00008A020000}"/>
    <cellStyle name="Good 8 2" xfId="704" xr:uid="{00000000-0005-0000-0000-00008B020000}"/>
    <cellStyle name="Good 9 2" xfId="705" xr:uid="{00000000-0005-0000-0000-00008C020000}"/>
    <cellStyle name="Good_NLBU -OPERATIONS  FINANCIAL REPORT - FEB10_REV Tanya" xfId="706" xr:uid="{00000000-0005-0000-0000-00008D020000}"/>
    <cellStyle name="Heading 1" xfId="707" xr:uid="{00000000-0005-0000-0000-00008E020000}"/>
    <cellStyle name="Heading 1 10 2" xfId="708" xr:uid="{00000000-0005-0000-0000-00008F020000}"/>
    <cellStyle name="Heading 1 11 2" xfId="709" xr:uid="{00000000-0005-0000-0000-000090020000}"/>
    <cellStyle name="Heading 1 12 2" xfId="710" xr:uid="{00000000-0005-0000-0000-000091020000}"/>
    <cellStyle name="Heading 1 13 2" xfId="711" xr:uid="{00000000-0005-0000-0000-000092020000}"/>
    <cellStyle name="Heading 1 2 2" xfId="712" xr:uid="{00000000-0005-0000-0000-000093020000}"/>
    <cellStyle name="Heading 1 2 2 2" xfId="713" xr:uid="{00000000-0005-0000-0000-000094020000}"/>
    <cellStyle name="Heading 1 2 2 2 2" xfId="714" xr:uid="{00000000-0005-0000-0000-000095020000}"/>
    <cellStyle name="Heading 1 2 2 3" xfId="715" xr:uid="{00000000-0005-0000-0000-000096020000}"/>
    <cellStyle name="Heading 1 2 3" xfId="716" xr:uid="{00000000-0005-0000-0000-000097020000}"/>
    <cellStyle name="Heading 1 2 3 2" xfId="717" xr:uid="{00000000-0005-0000-0000-000098020000}"/>
    <cellStyle name="Heading 1 3" xfId="718" xr:uid="{00000000-0005-0000-0000-000099020000}"/>
    <cellStyle name="Heading 1 4" xfId="719" xr:uid="{00000000-0005-0000-0000-00009A020000}"/>
    <cellStyle name="Heading 1 5 2" xfId="720" xr:uid="{00000000-0005-0000-0000-00009B020000}"/>
    <cellStyle name="Heading 1 6 2" xfId="721" xr:uid="{00000000-0005-0000-0000-00009C020000}"/>
    <cellStyle name="Heading 1 7 2" xfId="722" xr:uid="{00000000-0005-0000-0000-00009D020000}"/>
    <cellStyle name="Heading 1 8 2" xfId="723" xr:uid="{00000000-0005-0000-0000-00009E020000}"/>
    <cellStyle name="Heading 1 9 2" xfId="724" xr:uid="{00000000-0005-0000-0000-00009F020000}"/>
    <cellStyle name="Heading 2" xfId="725" xr:uid="{00000000-0005-0000-0000-0000A0020000}"/>
    <cellStyle name="Heading 2 10 2" xfId="726" xr:uid="{00000000-0005-0000-0000-0000A1020000}"/>
    <cellStyle name="Heading 2 11 2" xfId="727" xr:uid="{00000000-0005-0000-0000-0000A2020000}"/>
    <cellStyle name="Heading 2 12 2" xfId="728" xr:uid="{00000000-0005-0000-0000-0000A3020000}"/>
    <cellStyle name="Heading 2 13 2" xfId="729" xr:uid="{00000000-0005-0000-0000-0000A4020000}"/>
    <cellStyle name="Heading 2 2 2" xfId="730" xr:uid="{00000000-0005-0000-0000-0000A5020000}"/>
    <cellStyle name="Heading 2 2 2 2" xfId="731" xr:uid="{00000000-0005-0000-0000-0000A6020000}"/>
    <cellStyle name="Heading 2 2 2 2 2" xfId="732" xr:uid="{00000000-0005-0000-0000-0000A7020000}"/>
    <cellStyle name="Heading 2 2 2 3" xfId="733" xr:uid="{00000000-0005-0000-0000-0000A8020000}"/>
    <cellStyle name="Heading 2 2 3" xfId="734" xr:uid="{00000000-0005-0000-0000-0000A9020000}"/>
    <cellStyle name="Heading 2 2 3 2" xfId="735" xr:uid="{00000000-0005-0000-0000-0000AA020000}"/>
    <cellStyle name="Heading 2 3" xfId="736" xr:uid="{00000000-0005-0000-0000-0000AB020000}"/>
    <cellStyle name="Heading 2 4" xfId="737" xr:uid="{00000000-0005-0000-0000-0000AC020000}"/>
    <cellStyle name="Heading 2 5 2" xfId="738" xr:uid="{00000000-0005-0000-0000-0000AD020000}"/>
    <cellStyle name="Heading 2 6 2" xfId="739" xr:uid="{00000000-0005-0000-0000-0000AE020000}"/>
    <cellStyle name="Heading 2 7 2" xfId="740" xr:uid="{00000000-0005-0000-0000-0000AF020000}"/>
    <cellStyle name="Heading 2 8 2" xfId="741" xr:uid="{00000000-0005-0000-0000-0000B0020000}"/>
    <cellStyle name="Heading 2 9 2" xfId="742" xr:uid="{00000000-0005-0000-0000-0000B1020000}"/>
    <cellStyle name="Heading 2_RTD and LMU" xfId="743" xr:uid="{00000000-0005-0000-0000-0000B2020000}"/>
    <cellStyle name="Heading 3" xfId="744" xr:uid="{00000000-0005-0000-0000-0000B3020000}"/>
    <cellStyle name="Heading 3 10 2" xfId="745" xr:uid="{00000000-0005-0000-0000-0000B4020000}"/>
    <cellStyle name="Heading 3 11 2" xfId="746" xr:uid="{00000000-0005-0000-0000-0000B5020000}"/>
    <cellStyle name="Heading 3 12 2" xfId="747" xr:uid="{00000000-0005-0000-0000-0000B6020000}"/>
    <cellStyle name="Heading 3 13 2" xfId="748" xr:uid="{00000000-0005-0000-0000-0000B7020000}"/>
    <cellStyle name="Heading 3 2 2" xfId="749" xr:uid="{00000000-0005-0000-0000-0000B8020000}"/>
    <cellStyle name="Heading 3 2 2 2" xfId="750" xr:uid="{00000000-0005-0000-0000-0000B9020000}"/>
    <cellStyle name="Heading 3 2 2 2 2" xfId="751" xr:uid="{00000000-0005-0000-0000-0000BA020000}"/>
    <cellStyle name="Heading 3 2 2 3" xfId="752" xr:uid="{00000000-0005-0000-0000-0000BB020000}"/>
    <cellStyle name="Heading 3 2 3" xfId="753" xr:uid="{00000000-0005-0000-0000-0000BC020000}"/>
    <cellStyle name="Heading 3 2 3 2" xfId="754" xr:uid="{00000000-0005-0000-0000-0000BD020000}"/>
    <cellStyle name="Heading 3 3" xfId="755" xr:uid="{00000000-0005-0000-0000-0000BE020000}"/>
    <cellStyle name="Heading 3 4" xfId="756" xr:uid="{00000000-0005-0000-0000-0000BF020000}"/>
    <cellStyle name="Heading 3 5 2" xfId="757" xr:uid="{00000000-0005-0000-0000-0000C0020000}"/>
    <cellStyle name="Heading 3 6 2" xfId="758" xr:uid="{00000000-0005-0000-0000-0000C1020000}"/>
    <cellStyle name="Heading 3 7 2" xfId="759" xr:uid="{00000000-0005-0000-0000-0000C2020000}"/>
    <cellStyle name="Heading 3 8 2" xfId="760" xr:uid="{00000000-0005-0000-0000-0000C3020000}"/>
    <cellStyle name="Heading 3 9 2" xfId="761" xr:uid="{00000000-0005-0000-0000-0000C4020000}"/>
    <cellStyle name="Heading 4" xfId="762" xr:uid="{00000000-0005-0000-0000-0000C5020000}"/>
    <cellStyle name="Heading 4 10 2" xfId="763" xr:uid="{00000000-0005-0000-0000-0000C6020000}"/>
    <cellStyle name="Heading 4 11 2" xfId="764" xr:uid="{00000000-0005-0000-0000-0000C7020000}"/>
    <cellStyle name="Heading 4 12 2" xfId="765" xr:uid="{00000000-0005-0000-0000-0000C8020000}"/>
    <cellStyle name="Heading 4 13 2" xfId="766" xr:uid="{00000000-0005-0000-0000-0000C9020000}"/>
    <cellStyle name="Heading 4 2 2" xfId="767" xr:uid="{00000000-0005-0000-0000-0000CA020000}"/>
    <cellStyle name="Heading 4 2 2 2" xfId="768" xr:uid="{00000000-0005-0000-0000-0000CB020000}"/>
    <cellStyle name="Heading 4 2 2 2 2" xfId="769" xr:uid="{00000000-0005-0000-0000-0000CC020000}"/>
    <cellStyle name="Heading 4 2 2 3" xfId="770" xr:uid="{00000000-0005-0000-0000-0000CD020000}"/>
    <cellStyle name="Heading 4 2 3" xfId="771" xr:uid="{00000000-0005-0000-0000-0000CE020000}"/>
    <cellStyle name="Heading 4 2 3 2" xfId="772" xr:uid="{00000000-0005-0000-0000-0000CF020000}"/>
    <cellStyle name="Heading 4 3" xfId="773" xr:uid="{00000000-0005-0000-0000-0000D0020000}"/>
    <cellStyle name="Heading 4 4" xfId="774" xr:uid="{00000000-0005-0000-0000-0000D1020000}"/>
    <cellStyle name="Heading 4 5 2" xfId="775" xr:uid="{00000000-0005-0000-0000-0000D2020000}"/>
    <cellStyle name="Heading 4 6 2" xfId="776" xr:uid="{00000000-0005-0000-0000-0000D3020000}"/>
    <cellStyle name="Heading 4 7 2" xfId="777" xr:uid="{00000000-0005-0000-0000-0000D4020000}"/>
    <cellStyle name="Heading 4 8 2" xfId="778" xr:uid="{00000000-0005-0000-0000-0000D5020000}"/>
    <cellStyle name="Heading 4 9 2" xfId="779" xr:uid="{00000000-0005-0000-0000-0000D6020000}"/>
    <cellStyle name="HILIGHT" xfId="780" xr:uid="{00000000-0005-0000-0000-0000D7020000}"/>
    <cellStyle name="Hyperlink 2" xfId="12" xr:uid="{00000000-0005-0000-0000-0000D8020000}"/>
    <cellStyle name="Hyperlink 2 2" xfId="781" xr:uid="{00000000-0005-0000-0000-0000D9020000}"/>
    <cellStyle name="Hyperlink 3" xfId="15" xr:uid="{00000000-0005-0000-0000-0000DA020000}"/>
    <cellStyle name="Hyperlink 4" xfId="19" xr:uid="{00000000-0005-0000-0000-0000DB020000}"/>
    <cellStyle name="Hyperlink_SECOR Model Template" xfId="68" xr:uid="{00000000-0005-0000-0000-0000DC020000}"/>
    <cellStyle name="Input" xfId="782" xr:uid="{00000000-0005-0000-0000-0000DD020000}"/>
    <cellStyle name="Input 10 2" xfId="783" xr:uid="{00000000-0005-0000-0000-0000DE020000}"/>
    <cellStyle name="Input 11 2" xfId="784" xr:uid="{00000000-0005-0000-0000-0000DF020000}"/>
    <cellStyle name="Input 12 2" xfId="785" xr:uid="{00000000-0005-0000-0000-0000E0020000}"/>
    <cellStyle name="Input 13 2" xfId="786" xr:uid="{00000000-0005-0000-0000-0000E1020000}"/>
    <cellStyle name="Input 2" xfId="787" xr:uid="{00000000-0005-0000-0000-0000E2020000}"/>
    <cellStyle name="Input 2 2" xfId="788" xr:uid="{00000000-0005-0000-0000-0000E3020000}"/>
    <cellStyle name="Input 2 2 2" xfId="789" xr:uid="{00000000-0005-0000-0000-0000E4020000}"/>
    <cellStyle name="Input 2 2 2 2" xfId="790" xr:uid="{00000000-0005-0000-0000-0000E5020000}"/>
    <cellStyle name="Input 2 2 3" xfId="791" xr:uid="{00000000-0005-0000-0000-0000E6020000}"/>
    <cellStyle name="Input 2 2 4" xfId="792" xr:uid="{00000000-0005-0000-0000-0000E7020000}"/>
    <cellStyle name="Input 2 2 5" xfId="793" xr:uid="{00000000-0005-0000-0000-0000E8020000}"/>
    <cellStyle name="Input 2 2 6" xfId="794" xr:uid="{00000000-0005-0000-0000-0000E9020000}"/>
    <cellStyle name="Input 2 3" xfId="795" xr:uid="{00000000-0005-0000-0000-0000EA020000}"/>
    <cellStyle name="Input 2 3 2" xfId="796" xr:uid="{00000000-0005-0000-0000-0000EB020000}"/>
    <cellStyle name="Input 3" xfId="797" xr:uid="{00000000-0005-0000-0000-0000EC020000}"/>
    <cellStyle name="Input 3 2" xfId="798" xr:uid="{00000000-0005-0000-0000-0000ED020000}"/>
    <cellStyle name="Input 3 3" xfId="799" xr:uid="{00000000-0005-0000-0000-0000EE020000}"/>
    <cellStyle name="Input 3 4" xfId="800" xr:uid="{00000000-0005-0000-0000-0000EF020000}"/>
    <cellStyle name="Input 3_RTD and LMU" xfId="801" xr:uid="{00000000-0005-0000-0000-0000F0020000}"/>
    <cellStyle name="Input 4" xfId="802" xr:uid="{00000000-0005-0000-0000-0000F1020000}"/>
    <cellStyle name="Input 4 2" xfId="803" xr:uid="{00000000-0005-0000-0000-0000F2020000}"/>
    <cellStyle name="Input 4 3" xfId="804" xr:uid="{00000000-0005-0000-0000-0000F3020000}"/>
    <cellStyle name="Input 4 4" xfId="805" xr:uid="{00000000-0005-0000-0000-0000F4020000}"/>
    <cellStyle name="Input 4_RTD and LMU" xfId="806" xr:uid="{00000000-0005-0000-0000-0000F5020000}"/>
    <cellStyle name="Input 5" xfId="807" xr:uid="{00000000-0005-0000-0000-0000F6020000}"/>
    <cellStyle name="Input 5 2" xfId="808" xr:uid="{00000000-0005-0000-0000-0000F7020000}"/>
    <cellStyle name="Input 6 2" xfId="809" xr:uid="{00000000-0005-0000-0000-0000F8020000}"/>
    <cellStyle name="Input 7 2" xfId="810" xr:uid="{00000000-0005-0000-0000-0000F9020000}"/>
    <cellStyle name="Input 8 2" xfId="811" xr:uid="{00000000-0005-0000-0000-0000FA020000}"/>
    <cellStyle name="Input 9 2" xfId="812" xr:uid="{00000000-0005-0000-0000-0000FB020000}"/>
    <cellStyle name="Input_HC by Dept - VP rollup Feb 2010 -  RD profile" xfId="813" xr:uid="{00000000-0005-0000-0000-0000FC020000}"/>
    <cellStyle name="Insatisfaisant 2" xfId="58" xr:uid="{00000000-0005-0000-0000-0000FD020000}"/>
    <cellStyle name="Level 1" xfId="814" xr:uid="{00000000-0005-0000-0000-0000FE020000}"/>
    <cellStyle name="Level 2" xfId="815" xr:uid="{00000000-0005-0000-0000-0000FF020000}"/>
    <cellStyle name="Lien hypertexte" xfId="1247" builtinId="8"/>
    <cellStyle name="Lien hypertexte 2" xfId="89" xr:uid="{00000000-0005-0000-0000-000001030000}"/>
    <cellStyle name="Lien hypertexte 3" xfId="1242" xr:uid="{00000000-0005-0000-0000-000002030000}"/>
    <cellStyle name="Lien hypertexte 4" xfId="1246" xr:uid="{00000000-0005-0000-0000-000003030000}"/>
    <cellStyle name="Linked Cell" xfId="816" xr:uid="{00000000-0005-0000-0000-000004030000}"/>
    <cellStyle name="Linked Cell 10 2" xfId="817" xr:uid="{00000000-0005-0000-0000-000005030000}"/>
    <cellStyle name="Linked Cell 11 2" xfId="818" xr:uid="{00000000-0005-0000-0000-000006030000}"/>
    <cellStyle name="Linked Cell 12 2" xfId="819" xr:uid="{00000000-0005-0000-0000-000007030000}"/>
    <cellStyle name="Linked Cell 13 2" xfId="820" xr:uid="{00000000-0005-0000-0000-000008030000}"/>
    <cellStyle name="Linked Cell 2" xfId="821" xr:uid="{00000000-0005-0000-0000-000009030000}"/>
    <cellStyle name="Linked Cell 2 2" xfId="822" xr:uid="{00000000-0005-0000-0000-00000A030000}"/>
    <cellStyle name="Linked Cell 2 2 2" xfId="823" xr:uid="{00000000-0005-0000-0000-00000B030000}"/>
    <cellStyle name="Linked Cell 2 2 2 2" xfId="824" xr:uid="{00000000-0005-0000-0000-00000C030000}"/>
    <cellStyle name="Linked Cell 2 2 3" xfId="825" xr:uid="{00000000-0005-0000-0000-00000D030000}"/>
    <cellStyle name="Linked Cell 2 3" xfId="826" xr:uid="{00000000-0005-0000-0000-00000E030000}"/>
    <cellStyle name="Linked Cell 2 3 2" xfId="827" xr:uid="{00000000-0005-0000-0000-00000F030000}"/>
    <cellStyle name="Linked Cell 3" xfId="828" xr:uid="{00000000-0005-0000-0000-000010030000}"/>
    <cellStyle name="Linked Cell 4" xfId="829" xr:uid="{00000000-0005-0000-0000-000011030000}"/>
    <cellStyle name="Linked Cell 5" xfId="830" xr:uid="{00000000-0005-0000-0000-000012030000}"/>
    <cellStyle name="Linked Cell 5 2" xfId="831" xr:uid="{00000000-0005-0000-0000-000013030000}"/>
    <cellStyle name="Linked Cell 6 2" xfId="832" xr:uid="{00000000-0005-0000-0000-000014030000}"/>
    <cellStyle name="Linked Cell 7 2" xfId="833" xr:uid="{00000000-0005-0000-0000-000015030000}"/>
    <cellStyle name="Linked Cell 8 2" xfId="834" xr:uid="{00000000-0005-0000-0000-000016030000}"/>
    <cellStyle name="Linked Cell 9 2" xfId="835" xr:uid="{00000000-0005-0000-0000-000017030000}"/>
    <cellStyle name="Linked Cell_HC by Dept - VP rollup Feb 2010 -  RD profile" xfId="836" xr:uid="{00000000-0005-0000-0000-000018030000}"/>
    <cellStyle name="Milliers" xfId="3" builtinId="3"/>
    <cellStyle name="Milliers 2" xfId="90" xr:uid="{00000000-0005-0000-0000-00001A030000}"/>
    <cellStyle name="Milliers 3" xfId="1240" xr:uid="{00000000-0005-0000-0000-00001B030000}"/>
    <cellStyle name="Milliers 4" xfId="88" xr:uid="{00000000-0005-0000-0000-00001C030000}"/>
    <cellStyle name="Milliers 5" xfId="77" xr:uid="{00000000-0005-0000-0000-00001D030000}"/>
    <cellStyle name="Milliers 6" xfId="1244" xr:uid="{00000000-0005-0000-0000-00001E030000}"/>
    <cellStyle name="Milliers 7" xfId="31" xr:uid="{00000000-0005-0000-0000-00001F030000}"/>
    <cellStyle name="Monétaire" xfId="1" builtinId="4"/>
    <cellStyle name="Monétaire 2" xfId="9" xr:uid="{00000000-0005-0000-0000-000021030000}"/>
    <cellStyle name="Monétaire 3" xfId="1243" xr:uid="{00000000-0005-0000-0000-000022030000}"/>
    <cellStyle name="Monétaire 7" xfId="16" xr:uid="{00000000-0005-0000-0000-000023030000}"/>
    <cellStyle name="Neutral" xfId="837" xr:uid="{00000000-0005-0000-0000-000024030000}"/>
    <cellStyle name="Neutral 10 2" xfId="838" xr:uid="{00000000-0005-0000-0000-000025030000}"/>
    <cellStyle name="Neutral 11 2" xfId="839" xr:uid="{00000000-0005-0000-0000-000026030000}"/>
    <cellStyle name="Neutral 12 2" xfId="840" xr:uid="{00000000-0005-0000-0000-000027030000}"/>
    <cellStyle name="Neutral 13 2" xfId="841" xr:uid="{00000000-0005-0000-0000-000028030000}"/>
    <cellStyle name="Neutral 2" xfId="842" xr:uid="{00000000-0005-0000-0000-000029030000}"/>
    <cellStyle name="Neutral 2 2" xfId="843" xr:uid="{00000000-0005-0000-0000-00002A030000}"/>
    <cellStyle name="Neutral 2 2 2" xfId="844" xr:uid="{00000000-0005-0000-0000-00002B030000}"/>
    <cellStyle name="Neutral 2 2 2 2" xfId="845" xr:uid="{00000000-0005-0000-0000-00002C030000}"/>
    <cellStyle name="Neutral 2 2 3" xfId="846" xr:uid="{00000000-0005-0000-0000-00002D030000}"/>
    <cellStyle name="Neutral 2 3" xfId="847" xr:uid="{00000000-0005-0000-0000-00002E030000}"/>
    <cellStyle name="Neutral 2 3 2" xfId="848" xr:uid="{00000000-0005-0000-0000-00002F030000}"/>
    <cellStyle name="Neutral 3" xfId="849" xr:uid="{00000000-0005-0000-0000-000030030000}"/>
    <cellStyle name="Neutral 4" xfId="850" xr:uid="{00000000-0005-0000-0000-000031030000}"/>
    <cellStyle name="Neutral 5" xfId="851" xr:uid="{00000000-0005-0000-0000-000032030000}"/>
    <cellStyle name="Neutral 5 2" xfId="852" xr:uid="{00000000-0005-0000-0000-000033030000}"/>
    <cellStyle name="Neutral 6 2" xfId="853" xr:uid="{00000000-0005-0000-0000-000034030000}"/>
    <cellStyle name="Neutral 7 2" xfId="854" xr:uid="{00000000-0005-0000-0000-000035030000}"/>
    <cellStyle name="Neutral 8 2" xfId="855" xr:uid="{00000000-0005-0000-0000-000036030000}"/>
    <cellStyle name="Neutral 9 2" xfId="856" xr:uid="{00000000-0005-0000-0000-000037030000}"/>
    <cellStyle name="Neutral_NLBU -OPERATIONS  FINANCIAL REPORT - FEB10_REV Tanya" xfId="857" xr:uid="{00000000-0005-0000-0000-000038030000}"/>
    <cellStyle name="Neutre 2" xfId="71" xr:uid="{00000000-0005-0000-0000-000039030000}"/>
    <cellStyle name="Normal" xfId="0" builtinId="0"/>
    <cellStyle name="Normal 10" xfId="858" xr:uid="{00000000-0005-0000-0000-00003B030000}"/>
    <cellStyle name="Normal 11" xfId="859" xr:uid="{00000000-0005-0000-0000-00003C030000}"/>
    <cellStyle name="Normal 12" xfId="860" xr:uid="{00000000-0005-0000-0000-00003D030000}"/>
    <cellStyle name="Normal 13" xfId="78" xr:uid="{00000000-0005-0000-0000-00003E030000}"/>
    <cellStyle name="Normal 14" xfId="1241" xr:uid="{00000000-0005-0000-0000-00003F030000}"/>
    <cellStyle name="Normal 2" xfId="7" xr:uid="{00000000-0005-0000-0000-000040030000}"/>
    <cellStyle name="Normal 2 2" xfId="861" xr:uid="{00000000-0005-0000-0000-000041030000}"/>
    <cellStyle name="Normal 2 2 2" xfId="862" xr:uid="{00000000-0005-0000-0000-000042030000}"/>
    <cellStyle name="Normal 2 2 2 2" xfId="863" xr:uid="{00000000-0005-0000-0000-000043030000}"/>
    <cellStyle name="Normal 2 2 2_RTD and LMU" xfId="864" xr:uid="{00000000-0005-0000-0000-000044030000}"/>
    <cellStyle name="Normal 2 2 3" xfId="865" xr:uid="{00000000-0005-0000-0000-000045030000}"/>
    <cellStyle name="Normal 2 2 4" xfId="866" xr:uid="{00000000-0005-0000-0000-000046030000}"/>
    <cellStyle name="Normal 2 2 5" xfId="867" xr:uid="{00000000-0005-0000-0000-000047030000}"/>
    <cellStyle name="Normal 2 3" xfId="868" xr:uid="{00000000-0005-0000-0000-000048030000}"/>
    <cellStyle name="Normal 2 4" xfId="869" xr:uid="{00000000-0005-0000-0000-000049030000}"/>
    <cellStyle name="Normal 2 5" xfId="870" xr:uid="{00000000-0005-0000-0000-00004A030000}"/>
    <cellStyle name="Normal 2 6" xfId="871" xr:uid="{00000000-0005-0000-0000-00004B030000}"/>
    <cellStyle name="Normal 2 7" xfId="872" xr:uid="{00000000-0005-0000-0000-00004C030000}"/>
    <cellStyle name="Normal 2_Hypothèses bac roulant" xfId="1245" xr:uid="{00000000-0005-0000-0000-00004D030000}"/>
    <cellStyle name="Normal 3" xfId="4" xr:uid="{00000000-0005-0000-0000-00004E030000}"/>
    <cellStyle name="Normal 3 2" xfId="873" xr:uid="{00000000-0005-0000-0000-00004F030000}"/>
    <cellStyle name="Normal 3 2 2" xfId="874" xr:uid="{00000000-0005-0000-0000-000050030000}"/>
    <cellStyle name="Normal 3 2 3" xfId="875" xr:uid="{00000000-0005-0000-0000-000051030000}"/>
    <cellStyle name="Normal 3 2 4" xfId="876" xr:uid="{00000000-0005-0000-0000-000052030000}"/>
    <cellStyle name="Normal 3 2 5" xfId="877" xr:uid="{00000000-0005-0000-0000-000053030000}"/>
    <cellStyle name="Normal 3 3" xfId="878" xr:uid="{00000000-0005-0000-0000-000054030000}"/>
    <cellStyle name="Normal 3 4" xfId="879" xr:uid="{00000000-0005-0000-0000-000055030000}"/>
    <cellStyle name="Normal 3 5" xfId="880" xr:uid="{00000000-0005-0000-0000-000056030000}"/>
    <cellStyle name="Normal 4" xfId="13" xr:uid="{00000000-0005-0000-0000-000057030000}"/>
    <cellStyle name="Normal 4 2" xfId="881" xr:uid="{00000000-0005-0000-0000-000058030000}"/>
    <cellStyle name="Normal 5" xfId="882" xr:uid="{00000000-0005-0000-0000-000059030000}"/>
    <cellStyle name="Normal 6" xfId="883" xr:uid="{00000000-0005-0000-0000-00005A030000}"/>
    <cellStyle name="Normal 6 2" xfId="884" xr:uid="{00000000-0005-0000-0000-00005B030000}"/>
    <cellStyle name="Normal 6 3" xfId="885" xr:uid="{00000000-0005-0000-0000-00005C030000}"/>
    <cellStyle name="Normal 6 4" xfId="886" xr:uid="{00000000-0005-0000-0000-00005D030000}"/>
    <cellStyle name="Normal 6 5" xfId="887" xr:uid="{00000000-0005-0000-0000-00005E030000}"/>
    <cellStyle name="Normal 7" xfId="17" xr:uid="{00000000-0005-0000-0000-00005F030000}"/>
    <cellStyle name="Normal 7 2" xfId="888" xr:uid="{00000000-0005-0000-0000-000060030000}"/>
    <cellStyle name="Normal 8" xfId="889" xr:uid="{00000000-0005-0000-0000-000061030000}"/>
    <cellStyle name="Normal 9" xfId="890" xr:uid="{00000000-0005-0000-0000-000062030000}"/>
    <cellStyle name="Note" xfId="891" xr:uid="{00000000-0005-0000-0000-000063030000}"/>
    <cellStyle name="Note 10 2" xfId="892" xr:uid="{00000000-0005-0000-0000-000064030000}"/>
    <cellStyle name="Note 11 2" xfId="893" xr:uid="{00000000-0005-0000-0000-000065030000}"/>
    <cellStyle name="Note 12 2" xfId="894" xr:uid="{00000000-0005-0000-0000-000066030000}"/>
    <cellStyle name="Note 13 2" xfId="895" xr:uid="{00000000-0005-0000-0000-000067030000}"/>
    <cellStyle name="Note 2" xfId="11" xr:uid="{00000000-0005-0000-0000-000068030000}"/>
    <cellStyle name="Note 2 2" xfId="896" xr:uid="{00000000-0005-0000-0000-000069030000}"/>
    <cellStyle name="Note 2 2 2" xfId="897" xr:uid="{00000000-0005-0000-0000-00006A030000}"/>
    <cellStyle name="Note 2 2 2 2" xfId="898" xr:uid="{00000000-0005-0000-0000-00006B030000}"/>
    <cellStyle name="Note 2 2 3" xfId="899" xr:uid="{00000000-0005-0000-0000-00006C030000}"/>
    <cellStyle name="Note 2 2 4" xfId="900" xr:uid="{00000000-0005-0000-0000-00006D030000}"/>
    <cellStyle name="Note 2 2 5" xfId="901" xr:uid="{00000000-0005-0000-0000-00006E030000}"/>
    <cellStyle name="Note 2 2 6" xfId="902" xr:uid="{00000000-0005-0000-0000-00006F030000}"/>
    <cellStyle name="Note 2 3" xfId="903" xr:uid="{00000000-0005-0000-0000-000070030000}"/>
    <cellStyle name="Note 2 3 2" xfId="904" xr:uid="{00000000-0005-0000-0000-000071030000}"/>
    <cellStyle name="Note 3" xfId="10" xr:uid="{00000000-0005-0000-0000-000072030000}"/>
    <cellStyle name="Note 3 2" xfId="906" xr:uid="{00000000-0005-0000-0000-000073030000}"/>
    <cellStyle name="Note 3 3" xfId="907" xr:uid="{00000000-0005-0000-0000-000074030000}"/>
    <cellStyle name="Note 3 4" xfId="908" xr:uid="{00000000-0005-0000-0000-000075030000}"/>
    <cellStyle name="Note 3 5" xfId="905" xr:uid="{00000000-0005-0000-0000-000076030000}"/>
    <cellStyle name="Note 4" xfId="909" xr:uid="{00000000-0005-0000-0000-000077030000}"/>
    <cellStyle name="Note 4 2" xfId="910" xr:uid="{00000000-0005-0000-0000-000078030000}"/>
    <cellStyle name="Note 4 3" xfId="911" xr:uid="{00000000-0005-0000-0000-000079030000}"/>
    <cellStyle name="Note 4 4" xfId="912" xr:uid="{00000000-0005-0000-0000-00007A030000}"/>
    <cellStyle name="Note 5 2" xfId="913" xr:uid="{00000000-0005-0000-0000-00007B030000}"/>
    <cellStyle name="Note 6 2" xfId="914" xr:uid="{00000000-0005-0000-0000-00007C030000}"/>
    <cellStyle name="Note 7 2" xfId="915" xr:uid="{00000000-0005-0000-0000-00007D030000}"/>
    <cellStyle name="Note 8 2" xfId="916" xr:uid="{00000000-0005-0000-0000-00007E030000}"/>
    <cellStyle name="Note 9 2" xfId="917" xr:uid="{00000000-0005-0000-0000-00007F030000}"/>
    <cellStyle name="Note_RTD and LMU" xfId="918" xr:uid="{00000000-0005-0000-0000-000080030000}"/>
    <cellStyle name="Output" xfId="919" xr:uid="{00000000-0005-0000-0000-000081030000}"/>
    <cellStyle name="Output 10 2" xfId="920" xr:uid="{00000000-0005-0000-0000-000082030000}"/>
    <cellStyle name="Output 11 2" xfId="921" xr:uid="{00000000-0005-0000-0000-000083030000}"/>
    <cellStyle name="Output 12 2" xfId="922" xr:uid="{00000000-0005-0000-0000-000084030000}"/>
    <cellStyle name="Output 13 2" xfId="923" xr:uid="{00000000-0005-0000-0000-000085030000}"/>
    <cellStyle name="Output 2" xfId="924" xr:uid="{00000000-0005-0000-0000-000086030000}"/>
    <cellStyle name="Output 2 2" xfId="925" xr:uid="{00000000-0005-0000-0000-000087030000}"/>
    <cellStyle name="Output 2 2 2" xfId="926" xr:uid="{00000000-0005-0000-0000-000088030000}"/>
    <cellStyle name="Output 2 2 2 2" xfId="927" xr:uid="{00000000-0005-0000-0000-000089030000}"/>
    <cellStyle name="Output 2 2 3" xfId="928" xr:uid="{00000000-0005-0000-0000-00008A030000}"/>
    <cellStyle name="Output 2 2 4" xfId="929" xr:uid="{00000000-0005-0000-0000-00008B030000}"/>
    <cellStyle name="Output 2 2 5" xfId="930" xr:uid="{00000000-0005-0000-0000-00008C030000}"/>
    <cellStyle name="Output 2 2 6" xfId="931" xr:uid="{00000000-0005-0000-0000-00008D030000}"/>
    <cellStyle name="Output 2 3" xfId="932" xr:uid="{00000000-0005-0000-0000-00008E030000}"/>
    <cellStyle name="Output 2 3 2" xfId="933" xr:uid="{00000000-0005-0000-0000-00008F030000}"/>
    <cellStyle name="Output 3" xfId="934" xr:uid="{00000000-0005-0000-0000-000090030000}"/>
    <cellStyle name="Output 3 2" xfId="935" xr:uid="{00000000-0005-0000-0000-000091030000}"/>
    <cellStyle name="Output 3 3" xfId="936" xr:uid="{00000000-0005-0000-0000-000092030000}"/>
    <cellStyle name="Output 3 4" xfId="937" xr:uid="{00000000-0005-0000-0000-000093030000}"/>
    <cellStyle name="Output 3_RTD and LMU" xfId="938" xr:uid="{00000000-0005-0000-0000-000094030000}"/>
    <cellStyle name="Output 4" xfId="939" xr:uid="{00000000-0005-0000-0000-000095030000}"/>
    <cellStyle name="Output 4 2" xfId="940" xr:uid="{00000000-0005-0000-0000-000096030000}"/>
    <cellStyle name="Output 4 3" xfId="941" xr:uid="{00000000-0005-0000-0000-000097030000}"/>
    <cellStyle name="Output 4 4" xfId="942" xr:uid="{00000000-0005-0000-0000-000098030000}"/>
    <cellStyle name="Output 4_RTD and LMU" xfId="943" xr:uid="{00000000-0005-0000-0000-000099030000}"/>
    <cellStyle name="Output 5" xfId="944" xr:uid="{00000000-0005-0000-0000-00009A030000}"/>
    <cellStyle name="Output 5 2" xfId="945" xr:uid="{00000000-0005-0000-0000-00009B030000}"/>
    <cellStyle name="Output 6 2" xfId="946" xr:uid="{00000000-0005-0000-0000-00009C030000}"/>
    <cellStyle name="Output 7 2" xfId="947" xr:uid="{00000000-0005-0000-0000-00009D030000}"/>
    <cellStyle name="Output 8 2" xfId="948" xr:uid="{00000000-0005-0000-0000-00009E030000}"/>
    <cellStyle name="Output 9 2" xfId="949" xr:uid="{00000000-0005-0000-0000-00009F030000}"/>
    <cellStyle name="Output Amounts" xfId="20" xr:uid="{00000000-0005-0000-0000-0000A0030000}"/>
    <cellStyle name="Output Column Headings" xfId="21" xr:uid="{00000000-0005-0000-0000-0000A1030000}"/>
    <cellStyle name="Output Line Items" xfId="22" xr:uid="{00000000-0005-0000-0000-0000A2030000}"/>
    <cellStyle name="Output Line Items 2" xfId="950" xr:uid="{00000000-0005-0000-0000-0000A3030000}"/>
    <cellStyle name="Output Line Items 3" xfId="951" xr:uid="{00000000-0005-0000-0000-0000A4030000}"/>
    <cellStyle name="Output Line Items_RTD and LMU" xfId="952" xr:uid="{00000000-0005-0000-0000-0000A5030000}"/>
    <cellStyle name="Output Report Heading" xfId="23" xr:uid="{00000000-0005-0000-0000-0000A6030000}"/>
    <cellStyle name="Output Report Title" xfId="24" xr:uid="{00000000-0005-0000-0000-0000A7030000}"/>
    <cellStyle name="Output_HC by Dept - VP rollup Feb 2010 -  RD profile" xfId="953" xr:uid="{00000000-0005-0000-0000-0000A8030000}"/>
    <cellStyle name="Percent 2" xfId="8" xr:uid="{00000000-0005-0000-0000-0000A9030000}"/>
    <cellStyle name="Percent 2 2" xfId="954" xr:uid="{00000000-0005-0000-0000-0000AA030000}"/>
    <cellStyle name="Percent 2 3" xfId="955" xr:uid="{00000000-0005-0000-0000-0000AB030000}"/>
    <cellStyle name="Percent 3" xfId="956" xr:uid="{00000000-0005-0000-0000-0000AC030000}"/>
    <cellStyle name="Percent 4" xfId="957" xr:uid="{00000000-0005-0000-0000-0000AD030000}"/>
    <cellStyle name="Pourcentage" xfId="2" builtinId="5"/>
    <cellStyle name="Pourcentage 2" xfId="18" xr:uid="{00000000-0005-0000-0000-0000AF030000}"/>
    <cellStyle name="PSChar" xfId="25" xr:uid="{00000000-0005-0000-0000-0000B0030000}"/>
    <cellStyle name="PSChar 2" xfId="82" xr:uid="{00000000-0005-0000-0000-0000B1030000}"/>
    <cellStyle name="PSDate" xfId="26" xr:uid="{00000000-0005-0000-0000-0000B2030000}"/>
    <cellStyle name="PSDate 2" xfId="83" xr:uid="{00000000-0005-0000-0000-0000B3030000}"/>
    <cellStyle name="PSDec" xfId="27" xr:uid="{00000000-0005-0000-0000-0000B4030000}"/>
    <cellStyle name="PSDec 2" xfId="84" xr:uid="{00000000-0005-0000-0000-0000B5030000}"/>
    <cellStyle name="PSHeading" xfId="28" xr:uid="{00000000-0005-0000-0000-0000B6030000}"/>
    <cellStyle name="PSHeading 2" xfId="958" xr:uid="{00000000-0005-0000-0000-0000B7030000}"/>
    <cellStyle name="PSHeading 3" xfId="85" xr:uid="{00000000-0005-0000-0000-0000B8030000}"/>
    <cellStyle name="PSHeading_RTD and LMU" xfId="959" xr:uid="{00000000-0005-0000-0000-0000B9030000}"/>
    <cellStyle name="PSInt" xfId="29" xr:uid="{00000000-0005-0000-0000-0000BA030000}"/>
    <cellStyle name="PSInt 2" xfId="86" xr:uid="{00000000-0005-0000-0000-0000BB030000}"/>
    <cellStyle name="PSSpacer" xfId="30" xr:uid="{00000000-0005-0000-0000-0000BC030000}"/>
    <cellStyle name="PSSpacer 2" xfId="87" xr:uid="{00000000-0005-0000-0000-0000BD030000}"/>
    <cellStyle name="RISKbigPercent" xfId="960" xr:uid="{00000000-0005-0000-0000-0000BE030000}"/>
    <cellStyle name="RISKbigPercent 2" xfId="961" xr:uid="{00000000-0005-0000-0000-0000BF030000}"/>
    <cellStyle name="RISKbigPercent 3" xfId="962" xr:uid="{00000000-0005-0000-0000-0000C0030000}"/>
    <cellStyle name="RISKbigPercent 4" xfId="963" xr:uid="{00000000-0005-0000-0000-0000C1030000}"/>
    <cellStyle name="RISKbigPercent 5" xfId="964" xr:uid="{00000000-0005-0000-0000-0000C2030000}"/>
    <cellStyle name="RISKbigPercent 6" xfId="965" xr:uid="{00000000-0005-0000-0000-0000C3030000}"/>
    <cellStyle name="RISKbigPercent 7" xfId="966" xr:uid="{00000000-0005-0000-0000-0000C4030000}"/>
    <cellStyle name="RISKblandrEdge" xfId="967" xr:uid="{00000000-0005-0000-0000-0000C5030000}"/>
    <cellStyle name="RISKblandrEdge 2" xfId="968" xr:uid="{00000000-0005-0000-0000-0000C6030000}"/>
    <cellStyle name="RISKblandrEdge 3" xfId="969" xr:uid="{00000000-0005-0000-0000-0000C7030000}"/>
    <cellStyle name="RISKblandrEdge 4" xfId="970" xr:uid="{00000000-0005-0000-0000-0000C8030000}"/>
    <cellStyle name="RISKblandrEdge 5" xfId="971" xr:uid="{00000000-0005-0000-0000-0000C9030000}"/>
    <cellStyle name="RISKblandrEdge 6" xfId="972" xr:uid="{00000000-0005-0000-0000-0000CA030000}"/>
    <cellStyle name="RISKblandrEdge 7" xfId="973" xr:uid="{00000000-0005-0000-0000-0000CB030000}"/>
    <cellStyle name="RISKblCorner" xfId="974" xr:uid="{00000000-0005-0000-0000-0000CC030000}"/>
    <cellStyle name="RISKblCorner 2" xfId="975" xr:uid="{00000000-0005-0000-0000-0000CD030000}"/>
    <cellStyle name="RISKblCorner 3" xfId="976" xr:uid="{00000000-0005-0000-0000-0000CE030000}"/>
    <cellStyle name="RISKblCorner 4" xfId="977" xr:uid="{00000000-0005-0000-0000-0000CF030000}"/>
    <cellStyle name="RISKblCorner 5" xfId="978" xr:uid="{00000000-0005-0000-0000-0000D0030000}"/>
    <cellStyle name="RISKblCorner 6" xfId="979" xr:uid="{00000000-0005-0000-0000-0000D1030000}"/>
    <cellStyle name="RISKblCorner 7" xfId="980" xr:uid="{00000000-0005-0000-0000-0000D2030000}"/>
    <cellStyle name="RISKbottomEdge" xfId="981" xr:uid="{00000000-0005-0000-0000-0000D3030000}"/>
    <cellStyle name="RISKbottomEdge 2" xfId="982" xr:uid="{00000000-0005-0000-0000-0000D4030000}"/>
    <cellStyle name="RISKbottomEdge 3" xfId="983" xr:uid="{00000000-0005-0000-0000-0000D5030000}"/>
    <cellStyle name="RISKbottomEdge 4" xfId="984" xr:uid="{00000000-0005-0000-0000-0000D6030000}"/>
    <cellStyle name="RISKbottomEdge 5" xfId="985" xr:uid="{00000000-0005-0000-0000-0000D7030000}"/>
    <cellStyle name="RISKbottomEdge 6" xfId="986" xr:uid="{00000000-0005-0000-0000-0000D8030000}"/>
    <cellStyle name="RISKbottomEdge 7" xfId="987" xr:uid="{00000000-0005-0000-0000-0000D9030000}"/>
    <cellStyle name="RISKbrCorner" xfId="988" xr:uid="{00000000-0005-0000-0000-0000DA030000}"/>
    <cellStyle name="RISKbrCorner 2" xfId="989" xr:uid="{00000000-0005-0000-0000-0000DB030000}"/>
    <cellStyle name="RISKbrCorner 3" xfId="990" xr:uid="{00000000-0005-0000-0000-0000DC030000}"/>
    <cellStyle name="RISKbrCorner 4" xfId="991" xr:uid="{00000000-0005-0000-0000-0000DD030000}"/>
    <cellStyle name="RISKbrCorner 5" xfId="992" xr:uid="{00000000-0005-0000-0000-0000DE030000}"/>
    <cellStyle name="RISKbrCorner 6" xfId="993" xr:uid="{00000000-0005-0000-0000-0000DF030000}"/>
    <cellStyle name="RISKbrCorner 7" xfId="994" xr:uid="{00000000-0005-0000-0000-0000E0030000}"/>
    <cellStyle name="RISKdarkBoxed" xfId="995" xr:uid="{00000000-0005-0000-0000-0000E1030000}"/>
    <cellStyle name="RISKdarkBoxed 2" xfId="996" xr:uid="{00000000-0005-0000-0000-0000E2030000}"/>
    <cellStyle name="RISKdarkBoxed 2 2" xfId="997" xr:uid="{00000000-0005-0000-0000-0000E3030000}"/>
    <cellStyle name="RISKdarkBoxed 2 3" xfId="998" xr:uid="{00000000-0005-0000-0000-0000E4030000}"/>
    <cellStyle name="RISKdarkBoxed 2 4" xfId="999" xr:uid="{00000000-0005-0000-0000-0000E5030000}"/>
    <cellStyle name="RISKdarkBoxed 3" xfId="1000" xr:uid="{00000000-0005-0000-0000-0000E6030000}"/>
    <cellStyle name="RISKdarkBoxed 4" xfId="1001" xr:uid="{00000000-0005-0000-0000-0000E7030000}"/>
    <cellStyle name="RISKdarkBoxed 5" xfId="1002" xr:uid="{00000000-0005-0000-0000-0000E8030000}"/>
    <cellStyle name="RISKdarkBoxed 6" xfId="1003" xr:uid="{00000000-0005-0000-0000-0000E9030000}"/>
    <cellStyle name="RISKdarkBoxed 7" xfId="1004" xr:uid="{00000000-0005-0000-0000-0000EA030000}"/>
    <cellStyle name="RISKdarkShade" xfId="1005" xr:uid="{00000000-0005-0000-0000-0000EB030000}"/>
    <cellStyle name="RISKdarkShade 2" xfId="1006" xr:uid="{00000000-0005-0000-0000-0000EC030000}"/>
    <cellStyle name="RISKdarkShade 3" xfId="1007" xr:uid="{00000000-0005-0000-0000-0000ED030000}"/>
    <cellStyle name="RISKdarkShade 4" xfId="1008" xr:uid="{00000000-0005-0000-0000-0000EE030000}"/>
    <cellStyle name="RISKdarkShade 5" xfId="1009" xr:uid="{00000000-0005-0000-0000-0000EF030000}"/>
    <cellStyle name="RISKdarkShade 6" xfId="1010" xr:uid="{00000000-0005-0000-0000-0000F0030000}"/>
    <cellStyle name="RISKdarkShade 7" xfId="1011" xr:uid="{00000000-0005-0000-0000-0000F1030000}"/>
    <cellStyle name="RISKdbottomEdge" xfId="1012" xr:uid="{00000000-0005-0000-0000-0000F2030000}"/>
    <cellStyle name="RISKdbottomEdge 2" xfId="1013" xr:uid="{00000000-0005-0000-0000-0000F3030000}"/>
    <cellStyle name="RISKdbottomEdge 3" xfId="1014" xr:uid="{00000000-0005-0000-0000-0000F4030000}"/>
    <cellStyle name="RISKdbottomEdge 4" xfId="1015" xr:uid="{00000000-0005-0000-0000-0000F5030000}"/>
    <cellStyle name="RISKdbottomEdge 5" xfId="1016" xr:uid="{00000000-0005-0000-0000-0000F6030000}"/>
    <cellStyle name="RISKdbottomEdge 6" xfId="1017" xr:uid="{00000000-0005-0000-0000-0000F7030000}"/>
    <cellStyle name="RISKdbottomEdge 7" xfId="1018" xr:uid="{00000000-0005-0000-0000-0000F8030000}"/>
    <cellStyle name="RISKdrightEdge" xfId="1019" xr:uid="{00000000-0005-0000-0000-0000F9030000}"/>
    <cellStyle name="RISKdrightEdge 2" xfId="1020" xr:uid="{00000000-0005-0000-0000-0000FA030000}"/>
    <cellStyle name="RISKdrightEdge 3" xfId="1021" xr:uid="{00000000-0005-0000-0000-0000FB030000}"/>
    <cellStyle name="RISKdrightEdge 4" xfId="1022" xr:uid="{00000000-0005-0000-0000-0000FC030000}"/>
    <cellStyle name="RISKdrightEdge 5" xfId="1023" xr:uid="{00000000-0005-0000-0000-0000FD030000}"/>
    <cellStyle name="RISKdrightEdge 6" xfId="1024" xr:uid="{00000000-0005-0000-0000-0000FE030000}"/>
    <cellStyle name="RISKdrightEdge 7" xfId="1025" xr:uid="{00000000-0005-0000-0000-0000FF030000}"/>
    <cellStyle name="RISKdurationTime" xfId="1026" xr:uid="{00000000-0005-0000-0000-000000040000}"/>
    <cellStyle name="RISKdurationTime 2" xfId="1027" xr:uid="{00000000-0005-0000-0000-000001040000}"/>
    <cellStyle name="RISKdurationTime 3" xfId="1028" xr:uid="{00000000-0005-0000-0000-000002040000}"/>
    <cellStyle name="RISKdurationTime 4" xfId="1029" xr:uid="{00000000-0005-0000-0000-000003040000}"/>
    <cellStyle name="RISKdurationTime 5" xfId="1030" xr:uid="{00000000-0005-0000-0000-000004040000}"/>
    <cellStyle name="RISKdurationTime 6" xfId="1031" xr:uid="{00000000-0005-0000-0000-000005040000}"/>
    <cellStyle name="RISKdurationTime 7" xfId="1032" xr:uid="{00000000-0005-0000-0000-000006040000}"/>
    <cellStyle name="RISKinNumber" xfId="1033" xr:uid="{00000000-0005-0000-0000-000007040000}"/>
    <cellStyle name="RISKlandrEdge" xfId="1034" xr:uid="{00000000-0005-0000-0000-000008040000}"/>
    <cellStyle name="RISKlandrEdge 2" xfId="1035" xr:uid="{00000000-0005-0000-0000-000009040000}"/>
    <cellStyle name="RISKlandrEdge 3" xfId="1036" xr:uid="{00000000-0005-0000-0000-00000A040000}"/>
    <cellStyle name="RISKlandrEdge 4" xfId="1037" xr:uid="{00000000-0005-0000-0000-00000B040000}"/>
    <cellStyle name="RISKlandrEdge 5" xfId="1038" xr:uid="{00000000-0005-0000-0000-00000C040000}"/>
    <cellStyle name="RISKlandrEdge 6" xfId="1039" xr:uid="{00000000-0005-0000-0000-00000D040000}"/>
    <cellStyle name="RISKlandrEdge 7" xfId="1040" xr:uid="{00000000-0005-0000-0000-00000E040000}"/>
    <cellStyle name="RISKleftEdge" xfId="1041" xr:uid="{00000000-0005-0000-0000-00000F040000}"/>
    <cellStyle name="RISKleftEdge 2" xfId="1042" xr:uid="{00000000-0005-0000-0000-000010040000}"/>
    <cellStyle name="RISKleftEdge 3" xfId="1043" xr:uid="{00000000-0005-0000-0000-000011040000}"/>
    <cellStyle name="RISKleftEdge 4" xfId="1044" xr:uid="{00000000-0005-0000-0000-000012040000}"/>
    <cellStyle name="RISKleftEdge 5" xfId="1045" xr:uid="{00000000-0005-0000-0000-000013040000}"/>
    <cellStyle name="RISKleftEdge 6" xfId="1046" xr:uid="{00000000-0005-0000-0000-000014040000}"/>
    <cellStyle name="RISKleftEdge 7" xfId="1047" xr:uid="{00000000-0005-0000-0000-000015040000}"/>
    <cellStyle name="RISKlightBoxed" xfId="1048" xr:uid="{00000000-0005-0000-0000-000016040000}"/>
    <cellStyle name="RISKlightBoxed 2" xfId="1049" xr:uid="{00000000-0005-0000-0000-000017040000}"/>
    <cellStyle name="RISKlightBoxed 2 2" xfId="1050" xr:uid="{00000000-0005-0000-0000-000018040000}"/>
    <cellStyle name="RISKlightBoxed 2 3" xfId="1051" xr:uid="{00000000-0005-0000-0000-000019040000}"/>
    <cellStyle name="RISKlightBoxed 2 4" xfId="1052" xr:uid="{00000000-0005-0000-0000-00001A040000}"/>
    <cellStyle name="RISKlightBoxed 3" xfId="1053" xr:uid="{00000000-0005-0000-0000-00001B040000}"/>
    <cellStyle name="RISKlightBoxed 4" xfId="1054" xr:uid="{00000000-0005-0000-0000-00001C040000}"/>
    <cellStyle name="RISKlightBoxed 5" xfId="1055" xr:uid="{00000000-0005-0000-0000-00001D040000}"/>
    <cellStyle name="RISKlightBoxed 6" xfId="1056" xr:uid="{00000000-0005-0000-0000-00001E040000}"/>
    <cellStyle name="RISKlightBoxed 7" xfId="1057" xr:uid="{00000000-0005-0000-0000-00001F040000}"/>
    <cellStyle name="RISKltandbEdge" xfId="1058" xr:uid="{00000000-0005-0000-0000-000020040000}"/>
    <cellStyle name="RISKltandbEdge 2" xfId="1059" xr:uid="{00000000-0005-0000-0000-000021040000}"/>
    <cellStyle name="RISKltandbEdge 2 2" xfId="1060" xr:uid="{00000000-0005-0000-0000-000022040000}"/>
    <cellStyle name="RISKltandbEdge 2 3" xfId="1061" xr:uid="{00000000-0005-0000-0000-000023040000}"/>
    <cellStyle name="RISKltandbEdge 2 4" xfId="1062" xr:uid="{00000000-0005-0000-0000-000024040000}"/>
    <cellStyle name="RISKltandbEdge 3" xfId="1063" xr:uid="{00000000-0005-0000-0000-000025040000}"/>
    <cellStyle name="RISKltandbEdge 4" xfId="1064" xr:uid="{00000000-0005-0000-0000-000026040000}"/>
    <cellStyle name="RISKltandbEdge 5" xfId="1065" xr:uid="{00000000-0005-0000-0000-000027040000}"/>
    <cellStyle name="RISKltandbEdge 6" xfId="1066" xr:uid="{00000000-0005-0000-0000-000028040000}"/>
    <cellStyle name="RISKltandbEdge 7" xfId="1067" xr:uid="{00000000-0005-0000-0000-000029040000}"/>
    <cellStyle name="RISKnormBoxed" xfId="1068" xr:uid="{00000000-0005-0000-0000-00002A040000}"/>
    <cellStyle name="RISKnormBoxed 2" xfId="1069" xr:uid="{00000000-0005-0000-0000-00002B040000}"/>
    <cellStyle name="RISKnormBoxed 2 2" xfId="1070" xr:uid="{00000000-0005-0000-0000-00002C040000}"/>
    <cellStyle name="RISKnormBoxed 2 3" xfId="1071" xr:uid="{00000000-0005-0000-0000-00002D040000}"/>
    <cellStyle name="RISKnormBoxed 2 4" xfId="1072" xr:uid="{00000000-0005-0000-0000-00002E040000}"/>
    <cellStyle name="RISKnormBoxed 3" xfId="1073" xr:uid="{00000000-0005-0000-0000-00002F040000}"/>
    <cellStyle name="RISKnormBoxed 4" xfId="1074" xr:uid="{00000000-0005-0000-0000-000030040000}"/>
    <cellStyle name="RISKnormBoxed 5" xfId="1075" xr:uid="{00000000-0005-0000-0000-000031040000}"/>
    <cellStyle name="RISKnormBoxed 6" xfId="1076" xr:uid="{00000000-0005-0000-0000-000032040000}"/>
    <cellStyle name="RISKnormBoxed 7" xfId="1077" xr:uid="{00000000-0005-0000-0000-000033040000}"/>
    <cellStyle name="RISKnormCenter" xfId="1078" xr:uid="{00000000-0005-0000-0000-000034040000}"/>
    <cellStyle name="RISKnormCenter 2" xfId="1079" xr:uid="{00000000-0005-0000-0000-000035040000}"/>
    <cellStyle name="RISKnormCenter 3" xfId="1080" xr:uid="{00000000-0005-0000-0000-000036040000}"/>
    <cellStyle name="RISKnormCenter 4" xfId="1081" xr:uid="{00000000-0005-0000-0000-000037040000}"/>
    <cellStyle name="RISKnormCenter 5" xfId="1082" xr:uid="{00000000-0005-0000-0000-000038040000}"/>
    <cellStyle name="RISKnormCenter 6" xfId="1083" xr:uid="{00000000-0005-0000-0000-000039040000}"/>
    <cellStyle name="RISKnormCenter 7" xfId="1084" xr:uid="{00000000-0005-0000-0000-00003A040000}"/>
    <cellStyle name="RISKnormHeading" xfId="1085" xr:uid="{00000000-0005-0000-0000-00003B040000}"/>
    <cellStyle name="RISKnormItal" xfId="1086" xr:uid="{00000000-0005-0000-0000-00003C040000}"/>
    <cellStyle name="RISKnormLabel" xfId="1087" xr:uid="{00000000-0005-0000-0000-00003D040000}"/>
    <cellStyle name="RISKnormShade" xfId="1088" xr:uid="{00000000-0005-0000-0000-00003E040000}"/>
    <cellStyle name="RISKnormShade 2" xfId="1089" xr:uid="{00000000-0005-0000-0000-00003F040000}"/>
    <cellStyle name="RISKnormShade 3" xfId="1090" xr:uid="{00000000-0005-0000-0000-000040040000}"/>
    <cellStyle name="RISKnormShade 4" xfId="1091" xr:uid="{00000000-0005-0000-0000-000041040000}"/>
    <cellStyle name="RISKnormShade 5" xfId="1092" xr:uid="{00000000-0005-0000-0000-000042040000}"/>
    <cellStyle name="RISKnormShade 6" xfId="1093" xr:uid="{00000000-0005-0000-0000-000043040000}"/>
    <cellStyle name="RISKnormShade 7" xfId="1094" xr:uid="{00000000-0005-0000-0000-000044040000}"/>
    <cellStyle name="RISKnormTitle" xfId="1095" xr:uid="{00000000-0005-0000-0000-000045040000}"/>
    <cellStyle name="RISKoutNumber" xfId="1096" xr:uid="{00000000-0005-0000-0000-000046040000}"/>
    <cellStyle name="RISKrightEdge" xfId="1097" xr:uid="{00000000-0005-0000-0000-000047040000}"/>
    <cellStyle name="RISKrightEdge 2" xfId="1098" xr:uid="{00000000-0005-0000-0000-000048040000}"/>
    <cellStyle name="RISKrightEdge 3" xfId="1099" xr:uid="{00000000-0005-0000-0000-000049040000}"/>
    <cellStyle name="RISKrightEdge 4" xfId="1100" xr:uid="{00000000-0005-0000-0000-00004A040000}"/>
    <cellStyle name="RISKrightEdge 5" xfId="1101" xr:uid="{00000000-0005-0000-0000-00004B040000}"/>
    <cellStyle name="RISKrightEdge 6" xfId="1102" xr:uid="{00000000-0005-0000-0000-00004C040000}"/>
    <cellStyle name="RISKrightEdge 7" xfId="1103" xr:uid="{00000000-0005-0000-0000-00004D040000}"/>
    <cellStyle name="RISKrtandbEdge" xfId="1104" xr:uid="{00000000-0005-0000-0000-00004E040000}"/>
    <cellStyle name="RISKrtandbEdge 2" xfId="1105" xr:uid="{00000000-0005-0000-0000-00004F040000}"/>
    <cellStyle name="RISKrtandbEdge 2 2" xfId="1106" xr:uid="{00000000-0005-0000-0000-000050040000}"/>
    <cellStyle name="RISKrtandbEdge 2 3" xfId="1107" xr:uid="{00000000-0005-0000-0000-000051040000}"/>
    <cellStyle name="RISKrtandbEdge 2 4" xfId="1108" xr:uid="{00000000-0005-0000-0000-000052040000}"/>
    <cellStyle name="RISKrtandbEdge 3" xfId="1109" xr:uid="{00000000-0005-0000-0000-000053040000}"/>
    <cellStyle name="RISKrtandbEdge 4" xfId="1110" xr:uid="{00000000-0005-0000-0000-000054040000}"/>
    <cellStyle name="RISKrtandbEdge 5" xfId="1111" xr:uid="{00000000-0005-0000-0000-000055040000}"/>
    <cellStyle name="RISKrtandbEdge 6" xfId="1112" xr:uid="{00000000-0005-0000-0000-000056040000}"/>
    <cellStyle name="RISKrtandbEdge 7" xfId="1113" xr:uid="{00000000-0005-0000-0000-000057040000}"/>
    <cellStyle name="RISKssTime" xfId="1114" xr:uid="{00000000-0005-0000-0000-000058040000}"/>
    <cellStyle name="RISKssTime 2" xfId="1115" xr:uid="{00000000-0005-0000-0000-000059040000}"/>
    <cellStyle name="RISKssTime 3" xfId="1116" xr:uid="{00000000-0005-0000-0000-00005A040000}"/>
    <cellStyle name="RISKssTime 4" xfId="1117" xr:uid="{00000000-0005-0000-0000-00005B040000}"/>
    <cellStyle name="RISKssTime 5" xfId="1118" xr:uid="{00000000-0005-0000-0000-00005C040000}"/>
    <cellStyle name="RISKssTime 6" xfId="1119" xr:uid="{00000000-0005-0000-0000-00005D040000}"/>
    <cellStyle name="RISKssTime 7" xfId="1120" xr:uid="{00000000-0005-0000-0000-00005E040000}"/>
    <cellStyle name="RISKtandbEdge" xfId="1121" xr:uid="{00000000-0005-0000-0000-00005F040000}"/>
    <cellStyle name="RISKtandbEdge 2" xfId="1122" xr:uid="{00000000-0005-0000-0000-000060040000}"/>
    <cellStyle name="RISKtandbEdge 2 2" xfId="1123" xr:uid="{00000000-0005-0000-0000-000061040000}"/>
    <cellStyle name="RISKtandbEdge 2 3" xfId="1124" xr:uid="{00000000-0005-0000-0000-000062040000}"/>
    <cellStyle name="RISKtandbEdge 2 4" xfId="1125" xr:uid="{00000000-0005-0000-0000-000063040000}"/>
    <cellStyle name="RISKtandbEdge 3" xfId="1126" xr:uid="{00000000-0005-0000-0000-000064040000}"/>
    <cellStyle name="RISKtandbEdge 4" xfId="1127" xr:uid="{00000000-0005-0000-0000-000065040000}"/>
    <cellStyle name="RISKtandbEdge 5" xfId="1128" xr:uid="{00000000-0005-0000-0000-000066040000}"/>
    <cellStyle name="RISKtandbEdge 6" xfId="1129" xr:uid="{00000000-0005-0000-0000-000067040000}"/>
    <cellStyle name="RISKtandbEdge 7" xfId="1130" xr:uid="{00000000-0005-0000-0000-000068040000}"/>
    <cellStyle name="RISKtlandrEdge" xfId="1131" xr:uid="{00000000-0005-0000-0000-000069040000}"/>
    <cellStyle name="RISKtlandrEdge 2" xfId="1132" xr:uid="{00000000-0005-0000-0000-00006A040000}"/>
    <cellStyle name="RISKtlandrEdge 2 2" xfId="1133" xr:uid="{00000000-0005-0000-0000-00006B040000}"/>
    <cellStyle name="RISKtlandrEdge 2 3" xfId="1134" xr:uid="{00000000-0005-0000-0000-00006C040000}"/>
    <cellStyle name="RISKtlandrEdge 2 4" xfId="1135" xr:uid="{00000000-0005-0000-0000-00006D040000}"/>
    <cellStyle name="RISKtlandrEdge 3" xfId="1136" xr:uid="{00000000-0005-0000-0000-00006E040000}"/>
    <cellStyle name="RISKtlandrEdge 4" xfId="1137" xr:uid="{00000000-0005-0000-0000-00006F040000}"/>
    <cellStyle name="RISKtlandrEdge 5" xfId="1138" xr:uid="{00000000-0005-0000-0000-000070040000}"/>
    <cellStyle name="RISKtlandrEdge 6" xfId="1139" xr:uid="{00000000-0005-0000-0000-000071040000}"/>
    <cellStyle name="RISKtlandrEdge 7" xfId="1140" xr:uid="{00000000-0005-0000-0000-000072040000}"/>
    <cellStyle name="RISKtlCorner" xfId="1141" xr:uid="{00000000-0005-0000-0000-000073040000}"/>
    <cellStyle name="RISKtlCorner 2" xfId="1142" xr:uid="{00000000-0005-0000-0000-000074040000}"/>
    <cellStyle name="RISKtlCorner 2 2" xfId="1143" xr:uid="{00000000-0005-0000-0000-000075040000}"/>
    <cellStyle name="RISKtlCorner 2 3" xfId="1144" xr:uid="{00000000-0005-0000-0000-000076040000}"/>
    <cellStyle name="RISKtlCorner 2 4" xfId="1145" xr:uid="{00000000-0005-0000-0000-000077040000}"/>
    <cellStyle name="RISKtlCorner 3" xfId="1146" xr:uid="{00000000-0005-0000-0000-000078040000}"/>
    <cellStyle name="RISKtlCorner 4" xfId="1147" xr:uid="{00000000-0005-0000-0000-000079040000}"/>
    <cellStyle name="RISKtlCorner 5" xfId="1148" xr:uid="{00000000-0005-0000-0000-00007A040000}"/>
    <cellStyle name="RISKtlCorner 6" xfId="1149" xr:uid="{00000000-0005-0000-0000-00007B040000}"/>
    <cellStyle name="RISKtlCorner 7" xfId="1150" xr:uid="{00000000-0005-0000-0000-00007C040000}"/>
    <cellStyle name="RISKtopEdge" xfId="1151" xr:uid="{00000000-0005-0000-0000-00007D040000}"/>
    <cellStyle name="RISKtopEdge 2" xfId="1152" xr:uid="{00000000-0005-0000-0000-00007E040000}"/>
    <cellStyle name="RISKtopEdge 2 2" xfId="1153" xr:uid="{00000000-0005-0000-0000-00007F040000}"/>
    <cellStyle name="RISKtopEdge 2 3" xfId="1154" xr:uid="{00000000-0005-0000-0000-000080040000}"/>
    <cellStyle name="RISKtopEdge 2 4" xfId="1155" xr:uid="{00000000-0005-0000-0000-000081040000}"/>
    <cellStyle name="RISKtopEdge 3" xfId="1156" xr:uid="{00000000-0005-0000-0000-000082040000}"/>
    <cellStyle name="RISKtopEdge 4" xfId="1157" xr:uid="{00000000-0005-0000-0000-000083040000}"/>
    <cellStyle name="RISKtopEdge 5" xfId="1158" xr:uid="{00000000-0005-0000-0000-000084040000}"/>
    <cellStyle name="RISKtopEdge 6" xfId="1159" xr:uid="{00000000-0005-0000-0000-000085040000}"/>
    <cellStyle name="RISKtopEdge 7" xfId="1160" xr:uid="{00000000-0005-0000-0000-000086040000}"/>
    <cellStyle name="RISKtrCorner" xfId="1161" xr:uid="{00000000-0005-0000-0000-000087040000}"/>
    <cellStyle name="RISKtrCorner 2" xfId="1162" xr:uid="{00000000-0005-0000-0000-000088040000}"/>
    <cellStyle name="RISKtrCorner 2 2" xfId="1163" xr:uid="{00000000-0005-0000-0000-000089040000}"/>
    <cellStyle name="RISKtrCorner 2 3" xfId="1164" xr:uid="{00000000-0005-0000-0000-00008A040000}"/>
    <cellStyle name="RISKtrCorner 2 4" xfId="1165" xr:uid="{00000000-0005-0000-0000-00008B040000}"/>
    <cellStyle name="RISKtrCorner 3" xfId="1166" xr:uid="{00000000-0005-0000-0000-00008C040000}"/>
    <cellStyle name="RISKtrCorner 4" xfId="1167" xr:uid="{00000000-0005-0000-0000-00008D040000}"/>
    <cellStyle name="RISKtrCorner 5" xfId="1168" xr:uid="{00000000-0005-0000-0000-00008E040000}"/>
    <cellStyle name="RISKtrCorner 6" xfId="1169" xr:uid="{00000000-0005-0000-0000-00008F040000}"/>
    <cellStyle name="RISKtrCorner 7" xfId="1170" xr:uid="{00000000-0005-0000-0000-000090040000}"/>
    <cellStyle name="Satisfaisant 2" xfId="63" xr:uid="{00000000-0005-0000-0000-000091040000}"/>
    <cellStyle name="Sortie 2" xfId="73" xr:uid="{00000000-0005-0000-0000-000092040000}"/>
    <cellStyle name="Texte explicatif 2" xfId="62" xr:uid="{00000000-0005-0000-0000-000093040000}"/>
    <cellStyle name="Title" xfId="1171" xr:uid="{00000000-0005-0000-0000-000094040000}"/>
    <cellStyle name="Title 10 2" xfId="1172" xr:uid="{00000000-0005-0000-0000-000095040000}"/>
    <cellStyle name="Title 11 2" xfId="1173" xr:uid="{00000000-0005-0000-0000-000096040000}"/>
    <cellStyle name="Title 12 2" xfId="1174" xr:uid="{00000000-0005-0000-0000-000097040000}"/>
    <cellStyle name="Title 13 2" xfId="1175" xr:uid="{00000000-0005-0000-0000-000098040000}"/>
    <cellStyle name="Title 2 2" xfId="1176" xr:uid="{00000000-0005-0000-0000-000099040000}"/>
    <cellStyle name="Title 2 2 2" xfId="1177" xr:uid="{00000000-0005-0000-0000-00009A040000}"/>
    <cellStyle name="Title 2 2 2 2" xfId="1178" xr:uid="{00000000-0005-0000-0000-00009B040000}"/>
    <cellStyle name="Title 2 2 3" xfId="1179" xr:uid="{00000000-0005-0000-0000-00009C040000}"/>
    <cellStyle name="Title 2 3" xfId="1180" xr:uid="{00000000-0005-0000-0000-00009D040000}"/>
    <cellStyle name="Title 2 3 2" xfId="1181" xr:uid="{00000000-0005-0000-0000-00009E040000}"/>
    <cellStyle name="Title 3" xfId="1182" xr:uid="{00000000-0005-0000-0000-00009F040000}"/>
    <cellStyle name="Title 4" xfId="1183" xr:uid="{00000000-0005-0000-0000-0000A0040000}"/>
    <cellStyle name="Title 5 2" xfId="1184" xr:uid="{00000000-0005-0000-0000-0000A1040000}"/>
    <cellStyle name="Title 6 2" xfId="1185" xr:uid="{00000000-0005-0000-0000-0000A2040000}"/>
    <cellStyle name="Title 7 2" xfId="1186" xr:uid="{00000000-0005-0000-0000-0000A3040000}"/>
    <cellStyle name="Title 8 2" xfId="1187" xr:uid="{00000000-0005-0000-0000-0000A4040000}"/>
    <cellStyle name="Title 9 2" xfId="1188" xr:uid="{00000000-0005-0000-0000-0000A5040000}"/>
    <cellStyle name="Titre 2" xfId="74" xr:uid="{00000000-0005-0000-0000-0000A6040000}"/>
    <cellStyle name="Titre 1 2" xfId="64" xr:uid="{00000000-0005-0000-0000-0000A7040000}"/>
    <cellStyle name="Titre 2 2" xfId="65" xr:uid="{00000000-0005-0000-0000-0000A8040000}"/>
    <cellStyle name="Titre 3 2" xfId="66" xr:uid="{00000000-0005-0000-0000-0000A9040000}"/>
    <cellStyle name="Titre 4 2" xfId="67" xr:uid="{00000000-0005-0000-0000-0000AA040000}"/>
    <cellStyle name="Total 10 2" xfId="1189" xr:uid="{00000000-0005-0000-0000-0000AB040000}"/>
    <cellStyle name="Total 11 2" xfId="1190" xr:uid="{00000000-0005-0000-0000-0000AC040000}"/>
    <cellStyle name="Total 12 2" xfId="1191" xr:uid="{00000000-0005-0000-0000-0000AD040000}"/>
    <cellStyle name="Total 13 2" xfId="1192" xr:uid="{00000000-0005-0000-0000-0000AE040000}"/>
    <cellStyle name="Total 2" xfId="1193" xr:uid="{00000000-0005-0000-0000-0000AF040000}"/>
    <cellStyle name="Total 2 2" xfId="1194" xr:uid="{00000000-0005-0000-0000-0000B0040000}"/>
    <cellStyle name="Total 2 2 2" xfId="1195" xr:uid="{00000000-0005-0000-0000-0000B1040000}"/>
    <cellStyle name="Total 2 2 2 2" xfId="1196" xr:uid="{00000000-0005-0000-0000-0000B2040000}"/>
    <cellStyle name="Total 2 2 3" xfId="1197" xr:uid="{00000000-0005-0000-0000-0000B3040000}"/>
    <cellStyle name="Total 2 2 4" xfId="1198" xr:uid="{00000000-0005-0000-0000-0000B4040000}"/>
    <cellStyle name="Total 2 2 5" xfId="1199" xr:uid="{00000000-0005-0000-0000-0000B5040000}"/>
    <cellStyle name="Total 2 2 6" xfId="1200" xr:uid="{00000000-0005-0000-0000-0000B6040000}"/>
    <cellStyle name="Total 2 3" xfId="1201" xr:uid="{00000000-0005-0000-0000-0000B7040000}"/>
    <cellStyle name="Total 2 3 2" xfId="1202" xr:uid="{00000000-0005-0000-0000-0000B8040000}"/>
    <cellStyle name="Total 3" xfId="1203" xr:uid="{00000000-0005-0000-0000-0000B9040000}"/>
    <cellStyle name="Total 3 2" xfId="1204" xr:uid="{00000000-0005-0000-0000-0000BA040000}"/>
    <cellStyle name="Total 3 3" xfId="1205" xr:uid="{00000000-0005-0000-0000-0000BB040000}"/>
    <cellStyle name="Total 3 4" xfId="1206" xr:uid="{00000000-0005-0000-0000-0000BC040000}"/>
    <cellStyle name="Total 3_RTD and LMU" xfId="1207" xr:uid="{00000000-0005-0000-0000-0000BD040000}"/>
    <cellStyle name="Total 4" xfId="1208" xr:uid="{00000000-0005-0000-0000-0000BE040000}"/>
    <cellStyle name="Total 4 2" xfId="1209" xr:uid="{00000000-0005-0000-0000-0000BF040000}"/>
    <cellStyle name="Total 4 3" xfId="1210" xr:uid="{00000000-0005-0000-0000-0000C0040000}"/>
    <cellStyle name="Total 4 4" xfId="1211" xr:uid="{00000000-0005-0000-0000-0000C1040000}"/>
    <cellStyle name="Total 4_RTD and LMU" xfId="1212" xr:uid="{00000000-0005-0000-0000-0000C2040000}"/>
    <cellStyle name="Total 5" xfId="1213" xr:uid="{00000000-0005-0000-0000-0000C3040000}"/>
    <cellStyle name="Total 5 2" xfId="1214" xr:uid="{00000000-0005-0000-0000-0000C4040000}"/>
    <cellStyle name="Total 6" xfId="75" xr:uid="{00000000-0005-0000-0000-0000C5040000}"/>
    <cellStyle name="Total 6 2" xfId="1215" xr:uid="{00000000-0005-0000-0000-0000C6040000}"/>
    <cellStyle name="Total 7 2" xfId="1216" xr:uid="{00000000-0005-0000-0000-0000C7040000}"/>
    <cellStyle name="Total 8 2" xfId="1217" xr:uid="{00000000-0005-0000-0000-0000C8040000}"/>
    <cellStyle name="Total 9 2" xfId="1218" xr:uid="{00000000-0005-0000-0000-0000C9040000}"/>
    <cellStyle name="Vérification 2" xfId="60" xr:uid="{00000000-0005-0000-0000-0000CA040000}"/>
    <cellStyle name="Warning Text" xfId="1219" xr:uid="{00000000-0005-0000-0000-0000CB040000}"/>
    <cellStyle name="Warning Text 10 2" xfId="1220" xr:uid="{00000000-0005-0000-0000-0000CC040000}"/>
    <cellStyle name="Warning Text 11 2" xfId="1221" xr:uid="{00000000-0005-0000-0000-0000CD040000}"/>
    <cellStyle name="Warning Text 12 2" xfId="1222" xr:uid="{00000000-0005-0000-0000-0000CE040000}"/>
    <cellStyle name="Warning Text 13 2" xfId="1223" xr:uid="{00000000-0005-0000-0000-0000CF040000}"/>
    <cellStyle name="Warning Text 2" xfId="1224" xr:uid="{00000000-0005-0000-0000-0000D0040000}"/>
    <cellStyle name="Warning Text 2 2" xfId="1225" xr:uid="{00000000-0005-0000-0000-0000D1040000}"/>
    <cellStyle name="Warning Text 2 2 2" xfId="1226" xr:uid="{00000000-0005-0000-0000-0000D2040000}"/>
    <cellStyle name="Warning Text 2 2 2 2" xfId="1227" xr:uid="{00000000-0005-0000-0000-0000D3040000}"/>
    <cellStyle name="Warning Text 2 2 3" xfId="1228" xr:uid="{00000000-0005-0000-0000-0000D4040000}"/>
    <cellStyle name="Warning Text 2 3" xfId="1229" xr:uid="{00000000-0005-0000-0000-0000D5040000}"/>
    <cellStyle name="Warning Text 2 3 2" xfId="1230" xr:uid="{00000000-0005-0000-0000-0000D6040000}"/>
    <cellStyle name="Warning Text 3" xfId="1231" xr:uid="{00000000-0005-0000-0000-0000D7040000}"/>
    <cellStyle name="Warning Text 4" xfId="1232" xr:uid="{00000000-0005-0000-0000-0000D8040000}"/>
    <cellStyle name="Warning Text 5" xfId="1233" xr:uid="{00000000-0005-0000-0000-0000D9040000}"/>
    <cellStyle name="Warning Text 5 2" xfId="1234" xr:uid="{00000000-0005-0000-0000-0000DA040000}"/>
    <cellStyle name="Warning Text 6 2" xfId="1235" xr:uid="{00000000-0005-0000-0000-0000DB040000}"/>
    <cellStyle name="Warning Text 7 2" xfId="1236" xr:uid="{00000000-0005-0000-0000-0000DC040000}"/>
    <cellStyle name="Warning Text 8 2" xfId="1237" xr:uid="{00000000-0005-0000-0000-0000DD040000}"/>
    <cellStyle name="Warning Text 9 2" xfId="1238" xr:uid="{00000000-0005-0000-0000-0000DE040000}"/>
    <cellStyle name="Warning Text_NLBU -OPERATIONS  FINANCIAL REPORT - FEB10_REV Tanya" xfId="1239" xr:uid="{00000000-0005-0000-0000-0000DF040000}"/>
  </cellStyles>
  <dxfs count="38">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left" vertical="bottom" textRotation="0" wrapText="0" relativeIndent="1"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68" formatCode="0.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relativeIndent="1" justifyLastLine="0" shrinkToFit="0" readingOrder="0"/>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font>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dxf>
    <dxf>
      <fill>
        <patternFill patternType="lightUp">
          <fgColor theme="2" tint="-0.499984740745262"/>
        </patternFill>
      </fill>
    </dxf>
  </dxfs>
  <tableStyles count="0" defaultTableStyle="TableStyleMedium2" defaultPivotStyle="PivotStyleLight16"/>
  <colors>
    <mruColors>
      <color rgb="FF7AC142"/>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148166</xdr:colOff>
      <xdr:row>4</xdr:row>
      <xdr:rowOff>179917</xdr:rowOff>
    </xdr:from>
    <xdr:to>
      <xdr:col>9</xdr:col>
      <xdr:colOff>190500</xdr:colOff>
      <xdr:row>45</xdr:row>
      <xdr:rowOff>137584</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148166" y="941917"/>
          <a:ext cx="6900334" cy="7768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latin typeface="Corbel" panose="020B0503020204020204" pitchFamily="34" charset="0"/>
            </a:rPr>
            <a:t>Le Tarif de Éco</a:t>
          </a:r>
          <a:r>
            <a:rPr lang="fr-CA" sz="1100" baseline="0">
              <a:latin typeface="Corbel" panose="020B0503020204020204" pitchFamily="34" charset="0"/>
            </a:rPr>
            <a:t> Entreprises Québec (ÉEQ) permet à une entreprise de déterminer son assujettissement au régime de compensation pour les services municipaux de récupération et de valorisation des matières résiduelles, de comprendre l'étendue de ses obligations et de déterminer le montant de sa contribution grâce aux règles d'application et à la grille de contributions établies pour les matières visées par le régime de compensation.</a:t>
          </a:r>
        </a:p>
        <a:p>
          <a:endParaRPr lang="fr-CA" sz="1100" baseline="0">
            <a:latin typeface="Corbel" panose="020B0503020204020204" pitchFamily="34" charset="0"/>
          </a:endParaRPr>
        </a:p>
        <a:p>
          <a:r>
            <a:rPr lang="fr-CA" sz="1100" baseline="0">
              <a:latin typeface="Corbel" panose="020B0503020204020204" pitchFamily="34" charset="0"/>
            </a:rPr>
            <a:t>Toute personne assujettie doit produire une déclaration des matières à ÉEQ permettant d'établir sa contribution payable. Le montant de la contribution payable est déterminé en multipliant, pour chacune des matières, la quantité de chacune des matières qui est mise sur le marché au Québec pendant l'année de référence (2020 pour le Tarif 2021) par le taux applicable à cette matière, comme indiqué à la grille de contibutions de l'année d'assujettissement, puis en additionnant l'ensemble de ces montants.</a:t>
          </a:r>
        </a:p>
        <a:p>
          <a:endParaRPr lang="fr-CA" sz="1100" baseline="0">
            <a:latin typeface="Corbel" panose="020B0503020204020204" pitchFamily="34" charset="0"/>
          </a:endParaRPr>
        </a:p>
        <a:p>
          <a:r>
            <a:rPr lang="fr-CA" sz="1100" baseline="0">
              <a:latin typeface="Corbel" panose="020B0503020204020204" pitchFamily="34" charset="0"/>
            </a:rPr>
            <a:t>Ce document présente les calculs détaillés de la grille de contributions 2020.</a:t>
          </a:r>
        </a:p>
        <a:p>
          <a:r>
            <a:rPr lang="fr-CA" sz="1100" baseline="0">
              <a:latin typeface="Corbel" panose="020B0503020204020204" pitchFamily="34" charset="0"/>
            </a:rPr>
            <a:t>Cette grille repose essentiellement sur trois facteurs, à savoir :</a:t>
          </a:r>
        </a:p>
        <a:p>
          <a:endParaRPr lang="fr-CA" sz="1100" baseline="0">
            <a:latin typeface="Corbel" panose="020B0503020204020204" pitchFamily="34" charset="0"/>
          </a:endParaRPr>
        </a:p>
        <a:p>
          <a:r>
            <a:rPr lang="fr-CA" sz="1100">
              <a:latin typeface="Corbel" panose="020B0503020204020204" pitchFamily="34" charset="0"/>
            </a:rPr>
            <a:t>	1. Facteur</a:t>
          </a:r>
          <a:r>
            <a:rPr lang="fr-CA" sz="1100" baseline="0">
              <a:latin typeface="Corbel" panose="020B0503020204020204" pitchFamily="34" charset="0"/>
            </a:rPr>
            <a:t> 1 : Taux de récupération</a:t>
          </a:r>
        </a:p>
        <a:p>
          <a:r>
            <a:rPr lang="fr-CA" sz="1100" baseline="0">
              <a:latin typeface="Corbel" panose="020B0503020204020204" pitchFamily="34" charset="0"/>
            </a:rPr>
            <a:t>	2. Facteur 2 : Coût net</a:t>
          </a:r>
        </a:p>
        <a:p>
          <a:r>
            <a:rPr lang="fr-CA" sz="1100" baseline="0">
              <a:latin typeface="Corbel" panose="020B0503020204020204" pitchFamily="34" charset="0"/>
            </a:rPr>
            <a:t>	3. Facteur 3:  Équilibreur</a:t>
          </a:r>
        </a:p>
        <a:p>
          <a:endParaRPr lang="fr-CA" sz="1100" baseline="0">
            <a:latin typeface="Corbel" panose="020B0503020204020204" pitchFamily="34" charset="0"/>
          </a:endParaRPr>
        </a:p>
        <a:p>
          <a:r>
            <a:rPr lang="fr-CA" sz="1100" baseline="0">
              <a:latin typeface="Corbel" panose="020B0503020204020204" pitchFamily="34" charset="0"/>
            </a:rPr>
            <a:t>La grille est élaborée de façon telle qu'il n'y a pas d'interfinancement entre les catégories &lt;&lt;  </a:t>
          </a:r>
          <a:r>
            <a:rPr lang="fr-CA" sz="1100" b="0" baseline="0">
              <a:latin typeface="Corbel" panose="020B0503020204020204" pitchFamily="34" charset="0"/>
            </a:rPr>
            <a:t>imprimés &gt;&gt;  et &lt;&lt;contenants et emballages &gt;&gt;.</a:t>
          </a:r>
        </a:p>
        <a:p>
          <a:endParaRPr lang="fr-CA" sz="1100" baseline="0">
            <a:latin typeface="Corbel" panose="020B0503020204020204" pitchFamily="34" charset="0"/>
          </a:endParaRPr>
        </a:p>
        <a:p>
          <a:r>
            <a:rPr lang="fr-CA" sz="1100" baseline="0">
              <a:latin typeface="Corbel" panose="020B0503020204020204" pitchFamily="34" charset="0"/>
            </a:rPr>
            <a:t>La grille de contribution 2021 est subdivisée en 30 matières :</a:t>
          </a:r>
        </a:p>
        <a:p>
          <a:endParaRPr lang="fr-CA" sz="1100" baseline="0">
            <a:latin typeface="Corbel" panose="020B0503020204020204" pitchFamily="34" charset="0"/>
          </a:endParaRPr>
        </a:p>
        <a:p>
          <a:pPr marL="628650" lvl="1" indent="-171450">
            <a:buFont typeface="Arial" panose="020B0604020202020204" pitchFamily="34" charset="0"/>
            <a:buChar char="•"/>
          </a:pPr>
          <a:r>
            <a:rPr lang="fr-CA" sz="1100">
              <a:latin typeface="Corbel" panose="020B0503020204020204" pitchFamily="34" charset="0"/>
            </a:rPr>
            <a:t>6 matières dans la catégorie "imprimés";</a:t>
          </a:r>
        </a:p>
        <a:p>
          <a:pPr marL="628650" lvl="1" indent="-171450">
            <a:buFont typeface="Arial" panose="020B0604020202020204" pitchFamily="34" charset="0"/>
            <a:buChar char="•"/>
          </a:pPr>
          <a:r>
            <a:rPr lang="fr-CA" sz="1100">
              <a:solidFill>
                <a:schemeClr val="dk1"/>
              </a:solidFill>
              <a:latin typeface="Corbel" panose="020B0503020204020204" pitchFamily="34" charset="0"/>
              <a:ea typeface="+mn-ea"/>
              <a:cs typeface="+mn-cs"/>
            </a:rPr>
            <a:t>25 matières dans la catégorie "contenants et emballages".</a:t>
          </a:r>
        </a:p>
        <a:p>
          <a:pPr marL="0" lvl="0" indent="0">
            <a:buFont typeface="Arial" panose="020B0604020202020204" pitchFamily="34" charset="0"/>
            <a:buNone/>
          </a:pPr>
          <a:endParaRPr lang="fr-CA" sz="1100" baseline="0">
            <a:latin typeface="Corbel" panose="020B0503020204020204" pitchFamily="34" charset="0"/>
          </a:endParaRPr>
        </a:p>
        <a:p>
          <a:pPr marL="0" lvl="0" indent="0">
            <a:buFont typeface="Arial" panose="020B0604020202020204" pitchFamily="34" charset="0"/>
            <a:buNone/>
          </a:pPr>
          <a:r>
            <a:rPr lang="fr-CA" sz="1100" baseline="0">
              <a:latin typeface="Corbel" panose="020B0503020204020204" pitchFamily="34" charset="0"/>
            </a:rPr>
            <a:t>Le premier onglet (vert) présente un sommaire de la grille de contribution 2021, avec les variables clefs ayant servi à son calcul, et une comparaison entre les taux 2020 et 2021. Les onglets suivants (bleu) présentent les paramètres  et les données sources servant au calcul du Tarif. Ensuite, les onglets (orange) montrent le calcul détaillé du Tarif en fonction des trois facteurs susmentionnés, la formule spécifique pour l'indemnité RECYC-QUÉBEC et les frais de gestion, l'application de la limite de hausse des taux et la provision pour le crédit en  contenu recycé. Le calcul final du taux par matière est présenté à l'onglet Tarif (vert).</a:t>
          </a:r>
        </a:p>
        <a:p>
          <a:pPr marL="0" lvl="0" indent="0">
            <a:buFont typeface="Arial" panose="020B0604020202020204" pitchFamily="34" charset="0"/>
            <a:buNone/>
          </a:pPr>
          <a:endParaRPr lang="fr-CA" sz="1100" baseline="0">
            <a:latin typeface="Corbel" panose="020B0503020204020204" pitchFamily="34" charset="0"/>
          </a:endParaRPr>
        </a:p>
        <a:p>
          <a:pPr marL="0" lvl="0" indent="0">
            <a:buFont typeface="Arial" panose="020B0604020202020204" pitchFamily="34" charset="0"/>
            <a:buNone/>
          </a:pPr>
          <a:r>
            <a:rPr lang="fr-CA" sz="1100" baseline="0">
              <a:latin typeface="Corbel" panose="020B0503020204020204" pitchFamily="34" charset="0"/>
            </a:rPr>
            <a:t>Le calcul de la grille de contribution se fait selon les étapes suivantes :</a:t>
          </a:r>
        </a:p>
        <a:p>
          <a:pPr marL="0" lvl="0" indent="0">
            <a:buFont typeface="Arial" panose="020B0604020202020204" pitchFamily="34" charset="0"/>
            <a:buNone/>
          </a:pPr>
          <a:endParaRPr lang="fr-CA" sz="1100" baseline="0">
            <a:latin typeface="Corbel" panose="020B0503020204020204" pitchFamily="34" charset="0"/>
          </a:endParaRPr>
        </a:p>
        <a:p>
          <a:pPr marL="0" lvl="0" indent="0">
            <a:buFont typeface="Arial" panose="020B0604020202020204" pitchFamily="34" charset="0"/>
            <a:buNone/>
          </a:pPr>
          <a:r>
            <a:rPr lang="fr-CA" sz="1100" baseline="0">
              <a:latin typeface="Corbel" panose="020B0503020204020204" pitchFamily="34" charset="0"/>
            </a:rPr>
            <a:t>1. Détermination de la compensation totale à verser aux municipalités</a:t>
          </a:r>
        </a:p>
        <a:p>
          <a:pPr marL="0" lvl="0" indent="0">
            <a:buFont typeface="Arial" panose="020B0604020202020204" pitchFamily="34" charset="0"/>
            <a:buNone/>
          </a:pPr>
          <a:r>
            <a:rPr lang="fr-CA" sz="1100" baseline="0">
              <a:latin typeface="Corbel" panose="020B0503020204020204" pitchFamily="34" charset="0"/>
            </a:rPr>
            <a:t>2. Identification par ÉEQ de la somme des coûts liés au risque de sous-financement</a:t>
          </a:r>
        </a:p>
        <a:p>
          <a:pPr marL="0" lvl="0" indent="0">
            <a:buFont typeface="Arial" panose="020B0604020202020204" pitchFamily="34" charset="0"/>
            <a:buNone/>
          </a:pPr>
          <a:r>
            <a:rPr lang="fr-CA" sz="1100" baseline="0">
              <a:latin typeface="Corbel" panose="020B0503020204020204" pitchFamily="34" charset="0"/>
            </a:rPr>
            <a:t>3. Répartition de la compensation totale à verser aux municipalités</a:t>
          </a:r>
        </a:p>
        <a:p>
          <a:pPr marL="0" lvl="0" indent="0">
            <a:buFont typeface="Arial" panose="020B0604020202020204" pitchFamily="34" charset="0"/>
            <a:buNone/>
          </a:pPr>
          <a:r>
            <a:rPr lang="fr-CA" sz="1100" baseline="0">
              <a:latin typeface="Corbel" panose="020B0503020204020204" pitchFamily="34" charset="0"/>
            </a:rPr>
            <a:t>4. Calcul du facteur 1 : le facteur du taux de récupération par matière</a:t>
          </a:r>
        </a:p>
        <a:p>
          <a:pPr marL="0" lvl="0" indent="0">
            <a:buFont typeface="Arial" panose="020B0604020202020204" pitchFamily="34" charset="0"/>
            <a:buNone/>
          </a:pPr>
          <a:r>
            <a:rPr lang="fr-CA" sz="1100" baseline="0">
              <a:latin typeface="Corbel" panose="020B0503020204020204" pitchFamily="34" charset="0"/>
            </a:rPr>
            <a:t>5. Calcul du facteur 2: le facteur du coût net par matière</a:t>
          </a:r>
        </a:p>
        <a:p>
          <a:pPr marL="0" lvl="0" indent="0">
            <a:buFont typeface="Arial" panose="020B0604020202020204" pitchFamily="34" charset="0"/>
            <a:buNone/>
          </a:pPr>
          <a:r>
            <a:rPr lang="fr-CA" sz="1100" baseline="0">
              <a:latin typeface="Corbel" panose="020B0503020204020204" pitchFamily="34" charset="0"/>
            </a:rPr>
            <a:t>6. Calcul du facteur 3 : le facteur équilibreur</a:t>
          </a:r>
        </a:p>
        <a:p>
          <a:pPr marL="0" lvl="0" indent="0">
            <a:buFont typeface="Arial" panose="020B0604020202020204" pitchFamily="34" charset="0"/>
            <a:buNone/>
          </a:pPr>
          <a:r>
            <a:rPr lang="fr-CA" sz="1100" baseline="0">
              <a:latin typeface="Corbel" panose="020B0503020204020204" pitchFamily="34" charset="0"/>
            </a:rPr>
            <a:t>7. Répartition entre les matières de l'indemnité RECYC-QUÉBEC et des frais de gestion</a:t>
          </a:r>
        </a:p>
        <a:p>
          <a:pPr marL="0" lvl="0" indent="0">
            <a:buFont typeface="Arial" panose="020B0604020202020204" pitchFamily="34" charset="0"/>
            <a:buNone/>
          </a:pPr>
          <a:r>
            <a:rPr lang="fr-CA" sz="1100" baseline="0">
              <a:latin typeface="Corbel" panose="020B0503020204020204" pitchFamily="34" charset="0"/>
            </a:rPr>
            <a:t>8. Calcul du taux par matière</a:t>
          </a:r>
        </a:p>
      </xdr:txBody>
    </xdr:sp>
    <xdr:clientData/>
  </xdr:twoCellAnchor>
  <xdr:twoCellAnchor>
    <xdr:from>
      <xdr:col>9</xdr:col>
      <xdr:colOff>179917</xdr:colOff>
      <xdr:row>4</xdr:row>
      <xdr:rowOff>169333</xdr:rowOff>
    </xdr:from>
    <xdr:to>
      <xdr:col>18</xdr:col>
      <xdr:colOff>518584</xdr:colOff>
      <xdr:row>32</xdr:row>
      <xdr:rowOff>127000</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7037917" y="931333"/>
          <a:ext cx="7196667" cy="5291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1"/>
            <a:t>Liste des onglets</a:t>
          </a:r>
        </a:p>
        <a:p>
          <a:endParaRPr lang="fr-CA" sz="1100" b="1"/>
        </a:p>
        <a:p>
          <a:pPr marL="171450" indent="-171450">
            <a:buFont typeface="Arial" panose="020B0604020202020204" pitchFamily="34" charset="0"/>
            <a:buChar char="•"/>
          </a:pPr>
          <a:r>
            <a:rPr lang="fr-CA" sz="1100" b="0"/>
            <a:t>Sommaire</a:t>
          </a:r>
          <a:r>
            <a:rPr lang="fr-CA" sz="1100" b="0" baseline="0"/>
            <a:t> exécutif</a:t>
          </a:r>
        </a:p>
        <a:p>
          <a:pPr marL="628650" lvl="1" indent="-171450">
            <a:buFont typeface="Courier New" panose="02070309020205020404" pitchFamily="49" charset="0"/>
            <a:buChar char="o"/>
          </a:pPr>
          <a:r>
            <a:rPr lang="fr-CA" sz="1100" b="0" baseline="0"/>
            <a:t>Présentation d'un tableau résumé des variables clefs, des taux et une comparaison avec le Tarif précédent</a:t>
          </a:r>
        </a:p>
        <a:p>
          <a:pPr marL="171450" indent="-171450">
            <a:buFont typeface="Arial" panose="020B0604020202020204" pitchFamily="34" charset="0"/>
            <a:buChar char="•"/>
          </a:pPr>
          <a:r>
            <a:rPr lang="fr-CA" sz="1100" b="0" baseline="0"/>
            <a:t>Paramètres</a:t>
          </a:r>
        </a:p>
        <a:p>
          <a:pPr marL="628650" lvl="1" indent="-171450">
            <a:buFont typeface="Courier New" panose="02070309020205020404" pitchFamily="49" charset="0"/>
            <a:buChar char="o"/>
          </a:pPr>
          <a:r>
            <a:rPr lang="fr-CA" sz="1100" b="0" baseline="0"/>
            <a:t>Présentation de tous les paramètres utilisés dans le calcul des taux </a:t>
          </a:r>
        </a:p>
        <a:p>
          <a:pPr marL="171450" indent="-171450">
            <a:buFont typeface="Arial" panose="020B0604020202020204" pitchFamily="34" charset="0"/>
            <a:buChar char="•"/>
          </a:pPr>
          <a:r>
            <a:rPr lang="fr-CA" sz="1100" b="0" baseline="0"/>
            <a:t>Déclaration</a:t>
          </a:r>
        </a:p>
        <a:p>
          <a:pPr marL="628650" lvl="1" indent="-171450">
            <a:buFont typeface="Courier New" panose="02070309020205020404" pitchFamily="49" charset="0"/>
            <a:buChar char="o"/>
          </a:pPr>
          <a:r>
            <a:rPr lang="fr-CA" sz="1100" b="0" baseline="0"/>
            <a:t>Présentation des quantités déclarées ainsi que le nombre de déclarations par matière</a:t>
          </a:r>
        </a:p>
        <a:p>
          <a:pPr marL="171450" indent="-171450">
            <a:buFont typeface="Arial" panose="020B0604020202020204" pitchFamily="34" charset="0"/>
            <a:buChar char="•"/>
          </a:pPr>
          <a:r>
            <a:rPr lang="fr-CA" sz="1100" b="0" baseline="0"/>
            <a:t>Caractérisation</a:t>
          </a:r>
        </a:p>
        <a:p>
          <a:pPr marL="628650" lvl="1" indent="-171450">
            <a:buFont typeface="Courier New" panose="02070309020205020404" pitchFamily="49" charset="0"/>
            <a:buChar char="o"/>
          </a:pPr>
          <a:r>
            <a:rPr lang="fr-CA" sz="1100" b="0" baseline="0"/>
            <a:t>Présentation des données détaillées de l'Étude de caractérisation des matières résiduelle 2015-2017 par matière (Taux de récupération)</a:t>
          </a:r>
        </a:p>
        <a:p>
          <a:pPr marL="171450" indent="-171450">
            <a:buFont typeface="Arial" panose="020B0604020202020204" pitchFamily="34" charset="0"/>
            <a:buChar char="•"/>
          </a:pPr>
          <a:r>
            <a:rPr lang="fr-CA" sz="1100" b="0" baseline="0"/>
            <a:t>Coûts nets</a:t>
          </a:r>
        </a:p>
        <a:p>
          <a:pPr marL="628650" lvl="1" indent="-171450">
            <a:buFont typeface="Courier New" panose="02070309020205020404" pitchFamily="49" charset="0"/>
            <a:buChar char="o"/>
          </a:pPr>
          <a:r>
            <a:rPr lang="fr-CA" sz="1100" b="0" baseline="0"/>
            <a:t>Résumé des coûts totaux à payer par les entreprises</a:t>
          </a:r>
        </a:p>
        <a:p>
          <a:pPr marL="171450" indent="-171450">
            <a:buFont typeface="Arial" panose="020B0604020202020204" pitchFamily="34" charset="0"/>
            <a:buChar char="•"/>
          </a:pPr>
          <a:r>
            <a:rPr lang="fr-CA" sz="1100" b="0" baseline="0"/>
            <a:t>Sommaire matières</a:t>
          </a:r>
        </a:p>
        <a:p>
          <a:pPr marL="628650" lvl="1" indent="-171450">
            <a:buFont typeface="Courier New" panose="02070309020205020404" pitchFamily="49" charset="0"/>
            <a:buChar char="o"/>
          </a:pPr>
          <a:r>
            <a:rPr lang="fr-CA" sz="1100" b="0" baseline="0"/>
            <a:t>Onglet consolidant les données relatives à chaque matière et utilisées dans les calculs des onglets suivants</a:t>
          </a:r>
        </a:p>
        <a:p>
          <a:pPr marL="171450" indent="-171450">
            <a:buFont typeface="Arial" panose="020B0604020202020204" pitchFamily="34" charset="0"/>
            <a:buChar char="•"/>
          </a:pPr>
          <a:r>
            <a:rPr lang="fr-CA" sz="1100" b="0" baseline="0"/>
            <a:t>Facteur 1</a:t>
          </a:r>
        </a:p>
        <a:p>
          <a:pPr marL="628650" lvl="1" indent="-171450">
            <a:buFont typeface="Courier New" panose="02070309020205020404" pitchFamily="49" charset="0"/>
            <a:buChar char="o"/>
          </a:pPr>
          <a:r>
            <a:rPr lang="fr-CA" sz="1100" b="0" baseline="0"/>
            <a:t>Répartition des coûts par matière en fonction du facteur 1 - taux de récupération</a:t>
          </a:r>
        </a:p>
        <a:p>
          <a:pPr marL="171450" indent="-171450">
            <a:buFont typeface="Arial" panose="020B0604020202020204" pitchFamily="34" charset="0"/>
            <a:buChar char="•"/>
          </a:pPr>
          <a:r>
            <a:rPr lang="fr-CA" sz="1100" b="0" baseline="0"/>
            <a:t>Facteur 2</a:t>
          </a:r>
        </a:p>
        <a:p>
          <a:pPr marL="628650" lvl="1" indent="-171450">
            <a:buFont typeface="Courier New" panose="02070309020205020404" pitchFamily="49" charset="0"/>
            <a:buChar char="o"/>
          </a:pPr>
          <a:r>
            <a:rPr lang="fr-CA" sz="1100" b="0" baseline="0"/>
            <a:t>Répartition des coûts par matière en fonction du facteur 2 - Coût net par matière</a:t>
          </a:r>
        </a:p>
        <a:p>
          <a:pPr marL="171450" indent="-171450">
            <a:buFont typeface="Arial" panose="020B0604020202020204" pitchFamily="34" charset="0"/>
            <a:buChar char="•"/>
          </a:pPr>
          <a:r>
            <a:rPr lang="fr-CA" sz="1100" b="0" baseline="0"/>
            <a:t>Facteur 3</a:t>
          </a:r>
        </a:p>
        <a:p>
          <a:pPr marL="628650" lvl="1" indent="-171450">
            <a:buFont typeface="Courier New" panose="02070309020205020404" pitchFamily="49" charset="0"/>
            <a:buChar char="o"/>
          </a:pPr>
          <a:r>
            <a:rPr lang="fr-CA" sz="1100" b="0" baseline="0"/>
            <a:t>Répartition des coûts par matière en fonction du facteur 3 - Équilibreur</a:t>
          </a:r>
        </a:p>
        <a:p>
          <a:pPr marL="171450" indent="-171450">
            <a:buFont typeface="Arial" panose="020B0604020202020204" pitchFamily="34" charset="0"/>
            <a:buChar char="•"/>
          </a:pPr>
          <a:r>
            <a:rPr lang="fr-CA" sz="1100" b="0" baseline="0"/>
            <a:t>Frais de gestion &amp; RQ</a:t>
          </a:r>
        </a:p>
        <a:p>
          <a:pPr marL="628650" lvl="1" indent="-171450">
            <a:buFont typeface="Courier New" panose="02070309020205020404" pitchFamily="49" charset="0"/>
            <a:buChar char="o"/>
          </a:pPr>
          <a:r>
            <a:rPr lang="fr-CA" sz="1100" b="0" baseline="0"/>
            <a:t>Répartition entre les matières de l'indemnité RECYC-Québec et des frais de gestion ÉEQ</a:t>
          </a:r>
        </a:p>
        <a:p>
          <a:pPr marL="171450" indent="-171450">
            <a:buFont typeface="Arial" panose="020B0604020202020204" pitchFamily="34" charset="0"/>
            <a:buChar char="•"/>
          </a:pPr>
          <a:r>
            <a:rPr lang="fr-CA" sz="1100" b="0" baseline="0"/>
            <a:t>Limitation hausse</a:t>
          </a:r>
        </a:p>
        <a:p>
          <a:pPr marL="628650" lvl="1" indent="-171450">
            <a:buFont typeface="Courier New" panose="02070309020205020404" pitchFamily="49" charset="0"/>
            <a:buChar char="o"/>
          </a:pPr>
          <a:r>
            <a:rPr lang="fr-CA" sz="1100" b="0" baseline="0"/>
            <a:t>Somme à redistribuer pour appliquer la limite de hausse de taux</a:t>
          </a:r>
        </a:p>
        <a:p>
          <a:pPr marL="171450" indent="-171450">
            <a:buFont typeface="Arial" panose="020B0604020202020204" pitchFamily="34" charset="0"/>
            <a:buChar char="•"/>
          </a:pPr>
          <a:r>
            <a:rPr lang="fr-CA" sz="1100" b="0" baseline="0"/>
            <a:t>Crédit contenu recyclé</a:t>
          </a:r>
        </a:p>
        <a:p>
          <a:pPr marL="628650" lvl="1" indent="-171450">
            <a:buFont typeface="Courier New" panose="02070309020205020404" pitchFamily="49" charset="0"/>
            <a:buChar char="o"/>
          </a:pPr>
          <a:r>
            <a:rPr lang="fr-CA" sz="1100" b="0" baseline="0"/>
            <a:t>Détail du calcul du crédit pour contenu recyclé par matière</a:t>
          </a:r>
        </a:p>
        <a:p>
          <a:pPr marL="171450" indent="-171450">
            <a:buFont typeface="Arial" panose="020B0604020202020204" pitchFamily="34" charset="0"/>
            <a:buChar char="•"/>
          </a:pPr>
          <a:r>
            <a:rPr lang="fr-CA" sz="1100" b="0" baseline="0"/>
            <a:t>Tarif</a:t>
          </a:r>
        </a:p>
        <a:p>
          <a:pPr marL="628650" lvl="1" indent="-171450">
            <a:buFont typeface="Courier New" panose="02070309020205020404" pitchFamily="49" charset="0"/>
            <a:buChar char="o"/>
          </a:pPr>
          <a:r>
            <a:rPr lang="fr-CA" sz="1100" b="0" baseline="0"/>
            <a:t>Détail des calcul du taux par matière selon les montants calculés</a:t>
          </a:r>
        </a:p>
      </xdr:txBody>
    </xdr:sp>
    <xdr:clientData/>
  </xdr:twoCellAnchor>
  <xdr:twoCellAnchor editAs="oneCell">
    <xdr:from>
      <xdr:col>0</xdr:col>
      <xdr:colOff>63501</xdr:colOff>
      <xdr:row>0</xdr:row>
      <xdr:rowOff>0</xdr:rowOff>
    </xdr:from>
    <xdr:to>
      <xdr:col>1</xdr:col>
      <xdr:colOff>358644</xdr:colOff>
      <xdr:row>4</xdr:row>
      <xdr:rowOff>104667</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63501" y="0"/>
          <a:ext cx="1057143" cy="866667"/>
        </a:xfrm>
        <a:prstGeom prst="rect">
          <a:avLst/>
        </a:prstGeom>
      </xdr:spPr>
    </xdr:pic>
    <xdr:clientData/>
  </xdr:twoCellAnchor>
  <xdr:twoCellAnchor>
    <xdr:from>
      <xdr:col>1</xdr:col>
      <xdr:colOff>391583</xdr:colOff>
      <xdr:row>2</xdr:row>
      <xdr:rowOff>126999</xdr:rowOff>
    </xdr:from>
    <xdr:to>
      <xdr:col>9</xdr:col>
      <xdr:colOff>476250</xdr:colOff>
      <xdr:row>4</xdr:row>
      <xdr:rowOff>116416</xdr:rowOff>
    </xdr:to>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1153583" y="507999"/>
          <a:ext cx="6180667" cy="370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600" b="1">
              <a:solidFill>
                <a:srgbClr val="7AC142"/>
              </a:solidFill>
            </a:rPr>
            <a:t>Calcul</a:t>
          </a:r>
          <a:r>
            <a:rPr lang="fr-CA" sz="1600" b="1" baseline="0">
              <a:solidFill>
                <a:srgbClr val="7AC142"/>
              </a:solidFill>
            </a:rPr>
            <a:t> de la grille de contribution 2021</a:t>
          </a:r>
          <a:endParaRPr lang="fr-CA" sz="1600" b="1">
            <a:solidFill>
              <a:srgbClr val="7AC142"/>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783167</xdr:colOff>
      <xdr:row>10</xdr:row>
      <xdr:rowOff>58133</xdr:rowOff>
    </xdr:from>
    <xdr:ext cx="14707293" cy="2690929"/>
    <xdr:sp macro="" textlink="Paramètres!$B$82">
      <xdr:nvSpPr>
        <xdr:cNvPr id="3" name="Rectangle 2">
          <a:extLst>
            <a:ext uri="{FF2B5EF4-FFF2-40B4-BE49-F238E27FC236}">
              <a16:creationId xmlns:a16="http://schemas.microsoft.com/office/drawing/2014/main" id="{00000000-0008-0000-0600-000003000000}"/>
            </a:ext>
          </a:extLst>
        </xdr:cNvPr>
        <xdr:cNvSpPr/>
      </xdr:nvSpPr>
      <xdr:spPr>
        <a:xfrm rot="-1080000">
          <a:off x="973667" y="220655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169847</xdr:colOff>
      <xdr:row>15</xdr:row>
      <xdr:rowOff>160305</xdr:rowOff>
    </xdr:from>
    <xdr:ext cx="14707293" cy="2690929"/>
    <xdr:sp macro="" textlink="Paramètres!$B$82">
      <xdr:nvSpPr>
        <xdr:cNvPr id="2" name="Rectangle 1">
          <a:extLst>
            <a:ext uri="{FF2B5EF4-FFF2-40B4-BE49-F238E27FC236}">
              <a16:creationId xmlns:a16="http://schemas.microsoft.com/office/drawing/2014/main" id="{00000000-0008-0000-0700-000002000000}"/>
            </a:ext>
          </a:extLst>
        </xdr:cNvPr>
        <xdr:cNvSpPr/>
      </xdr:nvSpPr>
      <xdr:spPr>
        <a:xfrm rot="-1080000">
          <a:off x="169847" y="3494055"/>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238126</xdr:colOff>
      <xdr:row>21</xdr:row>
      <xdr:rowOff>71438</xdr:rowOff>
    </xdr:from>
    <xdr:ext cx="14707293" cy="2690929"/>
    <xdr:sp macro="" textlink="Paramètres!$B$82">
      <xdr:nvSpPr>
        <xdr:cNvPr id="3" name="Rectangle 2">
          <a:extLst>
            <a:ext uri="{FF2B5EF4-FFF2-40B4-BE49-F238E27FC236}">
              <a16:creationId xmlns:a16="http://schemas.microsoft.com/office/drawing/2014/main" id="{00000000-0008-0000-0900-000003000000}"/>
            </a:ext>
          </a:extLst>
        </xdr:cNvPr>
        <xdr:cNvSpPr/>
      </xdr:nvSpPr>
      <xdr:spPr>
        <a:xfrm rot="-1080000">
          <a:off x="238126" y="4619626"/>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55858</xdr:colOff>
      <xdr:row>17</xdr:row>
      <xdr:rowOff>142875</xdr:rowOff>
    </xdr:from>
    <xdr:ext cx="14707293" cy="2690929"/>
    <xdr:sp macro="" textlink="Paramètres!$B$82">
      <xdr:nvSpPr>
        <xdr:cNvPr id="3" name="Rectangle 2">
          <a:extLst>
            <a:ext uri="{FF2B5EF4-FFF2-40B4-BE49-F238E27FC236}">
              <a16:creationId xmlns:a16="http://schemas.microsoft.com/office/drawing/2014/main" id="{00000000-0008-0000-0A00-000003000000}"/>
            </a:ext>
          </a:extLst>
        </xdr:cNvPr>
        <xdr:cNvSpPr/>
      </xdr:nvSpPr>
      <xdr:spPr>
        <a:xfrm rot="-1080000">
          <a:off x="55858" y="3821906"/>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55859</xdr:colOff>
      <xdr:row>22</xdr:row>
      <xdr:rowOff>83343</xdr:rowOff>
    </xdr:from>
    <xdr:ext cx="14707293" cy="2690929"/>
    <xdr:sp macro="" textlink="Paramètres!$B$82">
      <xdr:nvSpPr>
        <xdr:cNvPr id="2" name="Rectangle 1">
          <a:extLst>
            <a:ext uri="{FF2B5EF4-FFF2-40B4-BE49-F238E27FC236}">
              <a16:creationId xmlns:a16="http://schemas.microsoft.com/office/drawing/2014/main" id="{00000000-0008-0000-0B00-000002000000}"/>
            </a:ext>
          </a:extLst>
        </xdr:cNvPr>
        <xdr:cNvSpPr/>
      </xdr:nvSpPr>
      <xdr:spPr>
        <a:xfrm rot="-1080000">
          <a:off x="55859" y="4714874"/>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750093</xdr:colOff>
      <xdr:row>14</xdr:row>
      <xdr:rowOff>130969</xdr:rowOff>
    </xdr:from>
    <xdr:ext cx="14707293" cy="2690929"/>
    <xdr:sp macro="" textlink="Paramètres!$B$82">
      <xdr:nvSpPr>
        <xdr:cNvPr id="3" name="Rectangle 2">
          <a:extLst>
            <a:ext uri="{FF2B5EF4-FFF2-40B4-BE49-F238E27FC236}">
              <a16:creationId xmlns:a16="http://schemas.microsoft.com/office/drawing/2014/main" id="{00000000-0008-0000-0D00-000003000000}"/>
            </a:ext>
          </a:extLst>
        </xdr:cNvPr>
        <xdr:cNvSpPr/>
      </xdr:nvSpPr>
      <xdr:spPr>
        <a:xfrm rot="-1080000">
          <a:off x="916781" y="3595688"/>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eeq-fs\Regime_de_compensation\09-01_tarification\09-01-05_tarifs_annuels\Tarif%202014\Volet%20technique\Grille%20de%20calcul%20Excel\09%20-%20Publication%20web%20Mai%202014\Non%20verrouill&#233;s\Tarif%202014%20-Publication%202014-05-02%20FR%20non%20verrouill&#233;.xlsx?96EC72EC" TargetMode="External"/><Relationship Id="rId1" Type="http://schemas.openxmlformats.org/officeDocument/2006/relationships/externalLinkPath" Target="file:///\\96EC72EC\Tarif%202014%20-Publication%202014-05-02%20FR%20non%20verrouill&#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couverture"/>
      <sheetName val="Sommaire exécutif"/>
      <sheetName val="Paramètres"/>
      <sheetName val="Déclaration"/>
      <sheetName val="Caractérisation"/>
      <sheetName val="Ajustements"/>
      <sheetName val="Coûts nets"/>
      <sheetName val="Sommaire matières"/>
      <sheetName val="Facteur_1"/>
      <sheetName val="Facteur_2"/>
      <sheetName val="Facteur_3"/>
      <sheetName val="Frais de gestion &amp; RQ"/>
      <sheetName val="Tarif"/>
      <sheetName val="Crédit contenu recyclé"/>
      <sheetName val="Tarif 2014 -Publication 2014-05"/>
    </sheetNames>
    <sheetDataSet>
      <sheetData sheetId="0" refreshError="1"/>
      <sheetData sheetId="1" refreshError="1"/>
      <sheetData sheetId="2">
        <row r="4">
          <cell r="C4">
            <v>2014</v>
          </cell>
        </row>
        <row r="6">
          <cell r="C6">
            <v>2013</v>
          </cell>
        </row>
        <row r="9">
          <cell r="C9">
            <v>154899437.50169548</v>
          </cell>
        </row>
        <row r="10">
          <cell r="C10">
            <v>-7.4999999999999997E-2</v>
          </cell>
        </row>
        <row r="11">
          <cell r="C11">
            <v>-6.6177687256072495E-2</v>
          </cell>
        </row>
        <row r="12">
          <cell r="C12">
            <v>8.5500000000000007E-2</v>
          </cell>
        </row>
        <row r="13">
          <cell r="C13">
            <v>1</v>
          </cell>
        </row>
        <row r="14">
          <cell r="C14">
            <v>0.89599999999999991</v>
          </cell>
        </row>
        <row r="15">
          <cell r="C15">
            <v>6840000</v>
          </cell>
        </row>
        <row r="16">
          <cell r="C16">
            <v>0.02</v>
          </cell>
        </row>
        <row r="17">
          <cell r="C17">
            <v>3191152</v>
          </cell>
        </row>
        <row r="18">
          <cell r="C18">
            <v>2574048</v>
          </cell>
        </row>
        <row r="19">
          <cell r="C19">
            <v>0.02</v>
          </cell>
        </row>
        <row r="22">
          <cell r="C22">
            <v>0.4</v>
          </cell>
        </row>
        <row r="23">
          <cell r="C23">
            <v>0.4</v>
          </cell>
        </row>
        <row r="24">
          <cell r="C24">
            <v>0.2</v>
          </cell>
        </row>
        <row r="25">
          <cell r="C25">
            <v>1</v>
          </cell>
        </row>
        <row r="28">
          <cell r="C28">
            <v>0.20499999999999999</v>
          </cell>
        </row>
        <row r="29">
          <cell r="C29">
            <v>0.69099999999999995</v>
          </cell>
        </row>
        <row r="32">
          <cell r="C32">
            <v>0.15</v>
          </cell>
        </row>
        <row r="33">
          <cell r="C33">
            <v>0.2</v>
          </cell>
        </row>
        <row r="47">
          <cell r="C47">
            <v>6996096.5500000007</v>
          </cell>
        </row>
        <row r="48">
          <cell r="C48">
            <v>0</v>
          </cell>
        </row>
        <row r="50">
          <cell r="C50">
            <v>-3800000</v>
          </cell>
        </row>
        <row r="51">
          <cell r="C51">
            <v>0</v>
          </cell>
        </row>
        <row r="52">
          <cell r="C52">
            <v>0</v>
          </cell>
        </row>
      </sheetData>
      <sheetData sheetId="3">
        <row r="6">
          <cell r="C6" t="str">
            <v>Encarts et circulaires imprimés sur du papier journal</v>
          </cell>
          <cell r="D6">
            <v>131</v>
          </cell>
          <cell r="E6">
            <v>96111832.011627913</v>
          </cell>
        </row>
        <row r="7">
          <cell r="C7" t="str">
            <v>Catalogues et publications</v>
          </cell>
          <cell r="D7">
            <v>209</v>
          </cell>
          <cell r="E7">
            <v>17711880.212209303</v>
          </cell>
        </row>
        <row r="8">
          <cell r="C8" t="str">
            <v>Magazines</v>
          </cell>
          <cell r="D8">
            <v>53</v>
          </cell>
          <cell r="E8">
            <v>15070365.48</v>
          </cell>
        </row>
        <row r="9">
          <cell r="C9" t="str">
            <v>Annuaires téléphoniques</v>
          </cell>
          <cell r="D9">
            <v>6</v>
          </cell>
          <cell r="E9">
            <v>5509078</v>
          </cell>
        </row>
        <row r="10">
          <cell r="C10" t="str">
            <v>Papier à usage général</v>
          </cell>
          <cell r="D10">
            <v>156</v>
          </cell>
          <cell r="E10">
            <v>8801382</v>
          </cell>
        </row>
        <row r="11">
          <cell r="C11" t="str">
            <v>Autres imprimés</v>
          </cell>
          <cell r="D11">
            <v>575</v>
          </cell>
          <cell r="E11">
            <v>28465942.191860463</v>
          </cell>
        </row>
        <row r="12">
          <cell r="C12" t="str">
            <v>Carton ondulé</v>
          </cell>
          <cell r="D12">
            <v>466</v>
          </cell>
          <cell r="E12">
            <v>62730654.746770605</v>
          </cell>
        </row>
        <row r="13">
          <cell r="C13" t="str">
            <v>Sacs de papier kraft</v>
          </cell>
          <cell r="D13">
            <v>56</v>
          </cell>
          <cell r="E13">
            <v>2222731</v>
          </cell>
        </row>
        <row r="14">
          <cell r="C14" t="str">
            <v>Emballages de papier kraft</v>
          </cell>
          <cell r="D14">
            <v>24</v>
          </cell>
          <cell r="E14">
            <v>152471</v>
          </cell>
        </row>
        <row r="15">
          <cell r="C15" t="str">
            <v>Carton plat et autres emballages de papier</v>
          </cell>
          <cell r="D15">
            <v>662</v>
          </cell>
          <cell r="E15">
            <v>87603041.22855331</v>
          </cell>
        </row>
        <row r="16">
          <cell r="C16" t="str">
            <v>Contenants à pignon</v>
          </cell>
          <cell r="D16">
            <v>54</v>
          </cell>
          <cell r="E16">
            <v>13681791.290883297</v>
          </cell>
        </row>
        <row r="17">
          <cell r="C17" t="str">
            <v>Laminés de papier</v>
          </cell>
          <cell r="D17">
            <v>272</v>
          </cell>
          <cell r="E17">
            <v>12864581.928887451</v>
          </cell>
        </row>
        <row r="18">
          <cell r="C18" t="str">
            <v>Contenants aseptiques</v>
          </cell>
          <cell r="D18">
            <v>35</v>
          </cell>
          <cell r="E18">
            <v>5461911.6066059368</v>
          </cell>
        </row>
        <row r="19">
          <cell r="C19" t="str">
            <v>Bouteilles PET</v>
          </cell>
          <cell r="D19">
            <v>204</v>
          </cell>
          <cell r="E19">
            <v>22223485.567695994</v>
          </cell>
        </row>
        <row r="20">
          <cell r="C20" t="str">
            <v>Bouteilles HDPE</v>
          </cell>
          <cell r="D20">
            <v>272</v>
          </cell>
          <cell r="E20">
            <v>17578084.94489044</v>
          </cell>
        </row>
        <row r="21">
          <cell r="C21" t="str">
            <v>Plastiques stratifiés</v>
          </cell>
          <cell r="D21">
            <v>349</v>
          </cell>
          <cell r="E21">
            <v>10683600</v>
          </cell>
        </row>
        <row r="22">
          <cell r="C22" t="str">
            <v>Pellicules HDPE et LDPE</v>
          </cell>
          <cell r="D22">
            <v>471</v>
          </cell>
          <cell r="E22">
            <v>22158672.844446313</v>
          </cell>
        </row>
        <row r="23">
          <cell r="C23" t="str">
            <v>Sacs d'emplettes de pellicules HDPE, LDPE et autre</v>
          </cell>
          <cell r="D23">
            <v>195</v>
          </cell>
          <cell r="E23">
            <v>8805612.4907401893</v>
          </cell>
        </row>
        <row r="24">
          <cell r="C24" t="str">
            <v>Polystyrène expansé alimentaire</v>
          </cell>
          <cell r="D24">
            <v>100</v>
          </cell>
          <cell r="E24">
            <v>5517952.1227987045</v>
          </cell>
        </row>
        <row r="25">
          <cell r="C25" t="str">
            <v>Polystyrène expansé de protection</v>
          </cell>
          <cell r="D25">
            <v>100</v>
          </cell>
          <cell r="E25">
            <v>3608663.8772012959</v>
          </cell>
        </row>
        <row r="26">
          <cell r="C26" t="str">
            <v>Polystyrène non expansé</v>
          </cell>
          <cell r="D26">
            <v>121</v>
          </cell>
          <cell r="E26">
            <v>5518736.7699999996</v>
          </cell>
        </row>
        <row r="27">
          <cell r="C27" t="str">
            <v>Contenants de PET</v>
          </cell>
          <cell r="D27">
            <v>62</v>
          </cell>
          <cell r="E27">
            <v>6133366.0977649214</v>
          </cell>
        </row>
        <row r="28">
          <cell r="C28" t="str">
            <v>Acide polylactique (PLA)</v>
          </cell>
          <cell r="D28">
            <v>35</v>
          </cell>
          <cell r="E28">
            <v>289577.85465116281</v>
          </cell>
        </row>
        <row r="29">
          <cell r="C29" t="str">
            <v>Autres plastiques, polymères et polyuréthanne</v>
          </cell>
          <cell r="D29">
            <v>532</v>
          </cell>
          <cell r="E29">
            <v>27062167.285589196</v>
          </cell>
        </row>
        <row r="30">
          <cell r="C30" t="str">
            <v>Contenants pour aliments et breuvages</v>
          </cell>
          <cell r="D30">
            <v>91</v>
          </cell>
          <cell r="E30">
            <v>2617332.7722722227</v>
          </cell>
        </row>
        <row r="31">
          <cell r="C31" t="str">
            <v>Autres contenants et emballages en aluminium</v>
          </cell>
          <cell r="D31">
            <v>222</v>
          </cell>
          <cell r="E31">
            <v>2030983</v>
          </cell>
        </row>
        <row r="32">
          <cell r="C32" t="str">
            <v>Bombes aérosol</v>
          </cell>
          <cell r="D32">
            <v>100</v>
          </cell>
          <cell r="E32">
            <v>2221808.9040697673</v>
          </cell>
        </row>
        <row r="33">
          <cell r="C33" t="str">
            <v>Autres contenants en acier</v>
          </cell>
          <cell r="D33">
            <v>197</v>
          </cell>
          <cell r="E33">
            <v>30876320.492419209</v>
          </cell>
        </row>
        <row r="34">
          <cell r="C34" t="str">
            <v>Verre clair</v>
          </cell>
          <cell r="D34">
            <v>201</v>
          </cell>
          <cell r="E34">
            <v>55031043.453308627</v>
          </cell>
        </row>
        <row r="35">
          <cell r="C35" t="str">
            <v>Verre coloré</v>
          </cell>
          <cell r="D35">
            <v>123</v>
          </cell>
          <cell r="E35">
            <v>92546829.078565374</v>
          </cell>
        </row>
      </sheetData>
      <sheetData sheetId="4">
        <row r="7">
          <cell r="C7" t="str">
            <v>Magazines</v>
          </cell>
          <cell r="D7">
            <v>22870.478449821665</v>
          </cell>
          <cell r="E7">
            <v>18929.94454826933</v>
          </cell>
        </row>
        <row r="8">
          <cell r="C8" t="str">
            <v>Encarts et circulaires imprimés sur du papier journal</v>
          </cell>
          <cell r="D8">
            <v>129422.99147456553</v>
          </cell>
          <cell r="E8">
            <v>107707.56764467964</v>
          </cell>
        </row>
        <row r="9">
          <cell r="C9" t="str">
            <v>Catalogues et publications</v>
          </cell>
          <cell r="D9">
            <v>27701.001051823641</v>
          </cell>
          <cell r="E9">
            <v>20020.88552483005</v>
          </cell>
        </row>
        <row r="10">
          <cell r="C10" t="str">
            <v>Annuaires téléphoniques</v>
          </cell>
          <cell r="D10">
            <v>11257.366645075939</v>
          </cell>
          <cell r="E10">
            <v>7697.0255462014411</v>
          </cell>
        </row>
        <row r="11">
          <cell r="C11" t="str">
            <v>Autres imprimés</v>
          </cell>
          <cell r="D11">
            <v>31942.335054722207</v>
          </cell>
          <cell r="E11">
            <v>19859.074937143323</v>
          </cell>
        </row>
        <row r="12">
          <cell r="C12" t="str">
            <v>Papier à usage général</v>
          </cell>
          <cell r="D12">
            <v>24325.416929057727</v>
          </cell>
          <cell r="E12">
            <v>16232.209002189051</v>
          </cell>
        </row>
        <row r="13">
          <cell r="D13">
            <v>247519.58960506669</v>
          </cell>
          <cell r="E13">
            <v>190446.70720331284</v>
          </cell>
        </row>
        <row r="16">
          <cell r="C16" t="str">
            <v>Carton ondulé</v>
          </cell>
          <cell r="D16">
            <v>99229.627625276466</v>
          </cell>
          <cell r="E16">
            <v>63420.807481714073</v>
          </cell>
        </row>
        <row r="17">
          <cell r="C17" t="str">
            <v>Emballages de papier kraft</v>
          </cell>
          <cell r="D17">
            <v>11108.913619713599</v>
          </cell>
          <cell r="E17">
            <v>3336.856097565716</v>
          </cell>
        </row>
        <row r="18">
          <cell r="C18" t="str">
            <v>Carton plat et autres emballages de papier</v>
          </cell>
          <cell r="D18">
            <v>95317.674100648554</v>
          </cell>
          <cell r="E18">
            <v>58078.098471118457</v>
          </cell>
        </row>
        <row r="19">
          <cell r="C19" t="str">
            <v>Contenants à pignon</v>
          </cell>
          <cell r="D19">
            <v>13176.095427740336</v>
          </cell>
          <cell r="E19">
            <v>8690.42298586998</v>
          </cell>
        </row>
        <row r="20">
          <cell r="C20" t="str">
            <v>Laminés de papier</v>
          </cell>
          <cell r="D20">
            <v>10960.499150846545</v>
          </cell>
          <cell r="E20">
            <v>3993.3412961500126</v>
          </cell>
        </row>
        <row r="21">
          <cell r="C21" t="str">
            <v>Contenants aseptiques</v>
          </cell>
          <cell r="D21">
            <v>8750.7497105177445</v>
          </cell>
          <cell r="E21">
            <v>4601.6205423100855</v>
          </cell>
        </row>
        <row r="22">
          <cell r="D22">
            <v>238543.55963474323</v>
          </cell>
          <cell r="E22">
            <v>142121.14687472832</v>
          </cell>
        </row>
        <row r="23">
          <cell r="C23" t="str">
            <v>Verre coloré/clair</v>
          </cell>
          <cell r="D23">
            <v>108748.3763727005</v>
          </cell>
          <cell r="E23">
            <v>89233.099307987388</v>
          </cell>
        </row>
        <row r="24">
          <cell r="D24">
            <v>108748.3763727005</v>
          </cell>
          <cell r="E24">
            <v>89233.099307987388</v>
          </cell>
        </row>
        <row r="25">
          <cell r="C25" t="str">
            <v>Autres contenants en acier</v>
          </cell>
          <cell r="D25">
            <v>24173.206945687296</v>
          </cell>
          <cell r="E25">
            <v>15722.848390190098</v>
          </cell>
        </row>
        <row r="26">
          <cell r="C26" t="str">
            <v>Bombes aérosol</v>
          </cell>
          <cell r="D26">
            <v>3457.7411203942947</v>
          </cell>
          <cell r="E26">
            <v>499.44559432799281</v>
          </cell>
        </row>
        <row r="27">
          <cell r="D27">
            <v>27630.94806608159</v>
          </cell>
          <cell r="E27">
            <v>16222.293984518092</v>
          </cell>
        </row>
        <row r="28">
          <cell r="C28" t="str">
            <v>Contenants pour aliments et breuvages</v>
          </cell>
          <cell r="D28">
            <v>3990.1741582344589</v>
          </cell>
          <cell r="E28">
            <v>1695.3387094788484</v>
          </cell>
        </row>
        <row r="29">
          <cell r="C29" t="str">
            <v>Autres contenants et emballages en aluminium</v>
          </cell>
          <cell r="D29">
            <v>3641.1492533280211</v>
          </cell>
          <cell r="E29">
            <v>660.11362200633198</v>
          </cell>
        </row>
        <row r="30">
          <cell r="D30">
            <v>7631.32341156248</v>
          </cell>
          <cell r="E30">
            <v>2355.4523314851804</v>
          </cell>
        </row>
        <row r="31">
          <cell r="C31" t="str">
            <v>Plastiques stratifiés</v>
          </cell>
          <cell r="D31">
            <v>11921.406030748349</v>
          </cell>
          <cell r="E31">
            <v>2340.7364478236605</v>
          </cell>
        </row>
        <row r="32">
          <cell r="C32" t="str">
            <v>Bouteilles PET</v>
          </cell>
          <cell r="D32">
            <v>24005.770847599735</v>
          </cell>
          <cell r="E32">
            <v>13892.333698377859</v>
          </cell>
        </row>
        <row r="33">
          <cell r="C33" t="str">
            <v>Contenants de PET</v>
          </cell>
          <cell r="D33">
            <v>5326.9474394624149</v>
          </cell>
          <cell r="E33">
            <v>2496.2145690379762</v>
          </cell>
        </row>
        <row r="34">
          <cell r="C34" t="str">
            <v>Bouteilles HDPE</v>
          </cell>
          <cell r="D34">
            <v>19355.208464792489</v>
          </cell>
          <cell r="E34">
            <v>11556.472548156487</v>
          </cell>
        </row>
        <row r="35">
          <cell r="C35" t="str">
            <v>Sacs d'emplettes de pellicules HDPE, LDPE et autre</v>
          </cell>
          <cell r="D35">
            <v>29516.077236437723</v>
          </cell>
          <cell r="E35">
            <v>1925.0355932852115</v>
          </cell>
        </row>
        <row r="36">
          <cell r="C36" t="str">
            <v>Pellicules HDPE et LDPE</v>
          </cell>
          <cell r="D36">
            <v>17443.958966592123</v>
          </cell>
          <cell r="E36">
            <v>5003.7504069011411</v>
          </cell>
        </row>
        <row r="37">
          <cell r="C37" t="str">
            <v>Polystyrène expansé</v>
          </cell>
          <cell r="D37">
            <v>11954.533148414492</v>
          </cell>
          <cell r="E37">
            <v>1170.3251101654996</v>
          </cell>
        </row>
        <row r="38">
          <cell r="C38" t="str">
            <v>Polystyrène non expansé</v>
          </cell>
          <cell r="D38">
            <v>7228.7386315299027</v>
          </cell>
          <cell r="E38">
            <v>2289.3408208412516</v>
          </cell>
        </row>
        <row r="39">
          <cell r="C39" t="str">
            <v>Acide polylactique (PLA)</v>
          </cell>
          <cell r="D39">
            <v>55.272237984395566</v>
          </cell>
          <cell r="E39">
            <v>12.398458949282904</v>
          </cell>
        </row>
        <row r="40">
          <cell r="C40" t="str">
            <v>Autres plastiques, polymères et polyuréthanne</v>
          </cell>
          <cell r="D40">
            <v>29676.967370546317</v>
          </cell>
          <cell r="E40">
            <v>11593.759921169531</v>
          </cell>
        </row>
      </sheetData>
      <sheetData sheetId="5">
        <row r="7">
          <cell r="C7" t="str">
            <v>Encarts et circulaires imprimés sur du papier journal</v>
          </cell>
        </row>
        <row r="8">
          <cell r="C8" t="str">
            <v>Catalogues et publications</v>
          </cell>
        </row>
        <row r="9">
          <cell r="C9" t="str">
            <v>Magazines</v>
          </cell>
        </row>
        <row r="10">
          <cell r="C10" t="str">
            <v>Annuaires téléphoniques</v>
          </cell>
        </row>
        <row r="11">
          <cell r="C11" t="str">
            <v>Papier à usage général</v>
          </cell>
        </row>
        <row r="12">
          <cell r="C12" t="str">
            <v>Autres imprimés</v>
          </cell>
        </row>
        <row r="14">
          <cell r="C14" t="str">
            <v>Carton ondulé</v>
          </cell>
        </row>
        <row r="15">
          <cell r="C15" t="str">
            <v>Sacs de papier kraft</v>
          </cell>
          <cell r="E15" t="str">
            <v>Emballages de papier kraft</v>
          </cell>
          <cell r="G15">
            <v>0.93580714398185927</v>
          </cell>
        </row>
        <row r="16">
          <cell r="C16" t="str">
            <v>Emballages de papier kraft</v>
          </cell>
          <cell r="E16" t="str">
            <v>Emballages de papier kraft</v>
          </cell>
          <cell r="G16">
            <v>6.4192856018140773E-2</v>
          </cell>
        </row>
        <row r="17">
          <cell r="C17" t="str">
            <v>Carton plat et autres emballages de papier</v>
          </cell>
        </row>
        <row r="18">
          <cell r="C18" t="str">
            <v>Contenants à pignon</v>
          </cell>
        </row>
        <row r="19">
          <cell r="C19" t="str">
            <v>Laminés de papier</v>
          </cell>
        </row>
        <row r="20">
          <cell r="C20" t="str">
            <v>Contenants aseptiques</v>
          </cell>
        </row>
        <row r="21">
          <cell r="C21" t="str">
            <v>Bouteilles PET</v>
          </cell>
        </row>
        <row r="22">
          <cell r="C22" t="str">
            <v>Bouteilles HDPE</v>
          </cell>
        </row>
        <row r="23">
          <cell r="C23" t="str">
            <v>Plastiques stratifiés</v>
          </cell>
        </row>
        <row r="24">
          <cell r="C24" t="str">
            <v>Pellicules HDPE et LDPE</v>
          </cell>
        </row>
        <row r="25">
          <cell r="C25" t="str">
            <v>Sacs d'emplettes de pellicules HDPE, LDPE et autre</v>
          </cell>
        </row>
        <row r="26">
          <cell r="C26" t="str">
            <v>Polystyrène expansé alimentaire</v>
          </cell>
          <cell r="E26" t="str">
            <v>Polystyrène expansé</v>
          </cell>
          <cell r="G26">
            <v>0.60460000977346962</v>
          </cell>
        </row>
        <row r="27">
          <cell r="C27" t="str">
            <v>Polystyrène expansé de protection</v>
          </cell>
          <cell r="E27" t="str">
            <v>Polystyrène expansé</v>
          </cell>
          <cell r="G27">
            <v>0.39539999022653038</v>
          </cell>
        </row>
        <row r="28">
          <cell r="C28" t="str">
            <v>Polystyrène non expansé</v>
          </cell>
        </row>
        <row r="29">
          <cell r="C29" t="str">
            <v>Contenants de PET</v>
          </cell>
        </row>
        <row r="30">
          <cell r="C30" t="str">
            <v>Acide polylactique (PLA)</v>
          </cell>
        </row>
        <row r="31">
          <cell r="C31" t="str">
            <v>Autres plastiques, polymères et polyuréthanne</v>
          </cell>
        </row>
        <row r="32">
          <cell r="C32" t="str">
            <v>Contenants pour aliments et breuvages</v>
          </cell>
        </row>
        <row r="33">
          <cell r="C33" t="str">
            <v>Autres contenants et emballages en aluminium</v>
          </cell>
        </row>
        <row r="34">
          <cell r="C34" t="str">
            <v>Bombes aérosol</v>
          </cell>
        </row>
        <row r="35">
          <cell r="C35" t="str">
            <v>Autres contenants en acier</v>
          </cell>
        </row>
        <row r="36">
          <cell r="C36" t="str">
            <v>Verre clair</v>
          </cell>
          <cell r="E36" t="str">
            <v>Verre coloré/clair</v>
          </cell>
          <cell r="G36">
            <v>0.37289495036881609</v>
          </cell>
        </row>
        <row r="37">
          <cell r="C37" t="str">
            <v>Verre coloré</v>
          </cell>
          <cell r="E37" t="str">
            <v>Verre coloré/clair</v>
          </cell>
          <cell r="G37">
            <v>0.62710504963118385</v>
          </cell>
        </row>
      </sheetData>
      <sheetData sheetId="6">
        <row r="7">
          <cell r="C7">
            <v>143281979.68906832</v>
          </cell>
        </row>
        <row r="14">
          <cell r="C14">
            <v>145239801.92507499</v>
          </cell>
        </row>
        <row r="16">
          <cell r="C16">
            <v>130134862.52486718</v>
          </cell>
        </row>
        <row r="27">
          <cell r="C27">
            <v>8219789.5364456195</v>
          </cell>
        </row>
        <row r="33">
          <cell r="C33">
            <v>2767093.0412262562</v>
          </cell>
        </row>
      </sheetData>
      <sheetData sheetId="7" refreshError="1"/>
      <sheetData sheetId="8" refreshError="1"/>
      <sheetData sheetId="9" refreshError="1"/>
      <sheetData sheetId="10" refreshError="1"/>
      <sheetData sheetId="11" refreshError="1"/>
      <sheetData sheetId="12">
        <row r="10">
          <cell r="B10" t="str">
            <v>Encarts et circulaires imprimés sur du papier journal</v>
          </cell>
          <cell r="L10">
            <v>151.00551902208446</v>
          </cell>
        </row>
        <row r="11">
          <cell r="B11" t="str">
            <v>Catalogues et publications</v>
          </cell>
          <cell r="L11">
            <v>225.34443791570226</v>
          </cell>
        </row>
        <row r="12">
          <cell r="B12" t="str">
            <v>Magazines</v>
          </cell>
          <cell r="L12">
            <v>225.34443791570226</v>
          </cell>
        </row>
        <row r="13">
          <cell r="B13" t="str">
            <v>Annuaires téléphoniques</v>
          </cell>
          <cell r="L13">
            <v>225.34443791570226</v>
          </cell>
        </row>
        <row r="14">
          <cell r="B14" t="str">
            <v>Papier à usage général</v>
          </cell>
          <cell r="L14">
            <v>225.34443791570226</v>
          </cell>
        </row>
        <row r="15">
          <cell r="B15" t="str">
            <v>Autres imprimés</v>
          </cell>
          <cell r="L15">
            <v>225.34443791570226</v>
          </cell>
        </row>
        <row r="16">
          <cell r="L16">
            <v>183.72487881054653</v>
          </cell>
        </row>
        <row r="19">
          <cell r="B19" t="str">
            <v>Carton ondulé</v>
          </cell>
          <cell r="L19">
            <v>264.70244732456689</v>
          </cell>
        </row>
        <row r="20">
          <cell r="B20" t="str">
            <v>Sacs de papier kraft</v>
          </cell>
          <cell r="L20">
            <v>264.70244732456689</v>
          </cell>
        </row>
        <row r="21">
          <cell r="B21" t="str">
            <v>Emballages de papier kraft</v>
          </cell>
          <cell r="L21">
            <v>264.70244732456689</v>
          </cell>
        </row>
        <row r="22">
          <cell r="B22" t="str">
            <v>Carton plat et autres emballages de papier</v>
          </cell>
          <cell r="L22">
            <v>169.37906517285217</v>
          </cell>
        </row>
        <row r="23">
          <cell r="B23" t="str">
            <v>Contenants à pignon</v>
          </cell>
          <cell r="L23">
            <v>162.94905263542205</v>
          </cell>
        </row>
        <row r="24">
          <cell r="B24" t="str">
            <v>Laminés de papier</v>
          </cell>
          <cell r="L24">
            <v>181.98645264670867</v>
          </cell>
        </row>
        <row r="25">
          <cell r="B25" t="str">
            <v>Contenants aseptiques</v>
          </cell>
          <cell r="L25">
            <v>284.79958334127275</v>
          </cell>
        </row>
        <row r="26">
          <cell r="L26">
            <v>206.79162043990837</v>
          </cell>
        </row>
        <row r="27">
          <cell r="B27" t="str">
            <v>Bouteilles PET</v>
          </cell>
          <cell r="L27">
            <v>220.27113002740683</v>
          </cell>
        </row>
        <row r="28">
          <cell r="B28" t="str">
            <v>Bouteilles HDPE</v>
          </cell>
          <cell r="L28">
            <v>217.41065375894459</v>
          </cell>
        </row>
        <row r="29">
          <cell r="B29" t="str">
            <v>Plastiques stratifiés</v>
          </cell>
          <cell r="L29">
            <v>517.80913166139396</v>
          </cell>
        </row>
        <row r="30">
          <cell r="B30" t="str">
            <v>Pellicules HDPE et LDPE</v>
          </cell>
          <cell r="L30">
            <v>517.80913166139396</v>
          </cell>
        </row>
        <row r="31">
          <cell r="B31" t="str">
            <v>Sacs d'emplettes de pellicules HDPE, LDPE et autre</v>
          </cell>
          <cell r="L31">
            <v>517.80913166139396</v>
          </cell>
        </row>
        <row r="32">
          <cell r="B32" t="str">
            <v>Polystyrène expansé alimentaire</v>
          </cell>
          <cell r="L32">
            <v>681.33413893092722</v>
          </cell>
        </row>
        <row r="33">
          <cell r="B33" t="str">
            <v>Polystyrène expansé de protection</v>
          </cell>
          <cell r="L33">
            <v>681.33413893092722</v>
          </cell>
        </row>
        <row r="34">
          <cell r="B34" t="str">
            <v>Polystyrène non expansé</v>
          </cell>
          <cell r="L34">
            <v>681.33413893092722</v>
          </cell>
        </row>
        <row r="35">
          <cell r="B35" t="str">
            <v>Contenants de PET</v>
          </cell>
          <cell r="L35">
            <v>266.3733345096382</v>
          </cell>
        </row>
        <row r="36">
          <cell r="B36" t="str">
            <v>Acide polylactique (PLA)</v>
          </cell>
          <cell r="L36">
            <v>681.33413893092722</v>
          </cell>
        </row>
        <row r="37">
          <cell r="B37" t="str">
            <v>Autres plastiques, polymères et polyuréthanne</v>
          </cell>
          <cell r="L37">
            <v>266.3733345096382</v>
          </cell>
        </row>
        <row r="38">
          <cell r="L38">
            <v>380.46476359879273</v>
          </cell>
        </row>
        <row r="39">
          <cell r="B39" t="str">
            <v>Contenants pour aliments et breuvages</v>
          </cell>
          <cell r="L39">
            <v>187.76532228720001</v>
          </cell>
        </row>
        <row r="40">
          <cell r="B40" t="str">
            <v>Autres contenants et emballages en aluminium</v>
          </cell>
          <cell r="L40">
            <v>187.76532228720001</v>
          </cell>
        </row>
        <row r="41">
          <cell r="L41">
            <v>187.76532228720004</v>
          </cell>
        </row>
        <row r="42">
          <cell r="B42" t="str">
            <v>Bombes aérosol</v>
          </cell>
          <cell r="L42">
            <v>114.87125802496932</v>
          </cell>
        </row>
        <row r="43">
          <cell r="B43" t="str">
            <v>Autres contenants en acier</v>
          </cell>
          <cell r="L43">
            <v>114.87125802496932</v>
          </cell>
        </row>
        <row r="44">
          <cell r="L44">
            <v>114.87125802496932</v>
          </cell>
        </row>
        <row r="45">
          <cell r="B45" t="str">
            <v>Verre clair</v>
          </cell>
          <cell r="L45">
            <v>97.114130118586175</v>
          </cell>
        </row>
        <row r="46">
          <cell r="B46" t="str">
            <v>Verre coloré</v>
          </cell>
          <cell r="L46">
            <v>94.406710977685265</v>
          </cell>
        </row>
        <row r="47">
          <cell r="L47">
            <v>95.416293903859099</v>
          </cell>
        </row>
        <row r="48">
          <cell r="L48">
            <v>212.67044352082857</v>
          </cell>
        </row>
        <row r="50">
          <cell r="L50">
            <v>204.56338747811273</v>
          </cell>
        </row>
      </sheetData>
      <sheetData sheetId="13" refreshError="1"/>
      <sheetData sheetId="1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DA8D08F-80B2-40C2-A9FC-6C0891FCEBA5}" name="Tableau2" displayName="Tableau2" ref="B2:J19" totalsRowShown="0">
  <autoFilter ref="B2:J19" xr:uid="{3A0DE525-08A4-45AF-82A3-564516748F70}"/>
  <tableColumns count="9">
    <tableColumn id="1" xr3:uid="{E7F51BF1-3892-4096-90EB-54F5DB3E2F31}" name="Intrant"/>
    <tableColumn id="2" xr3:uid="{1F2F0958-48CF-428D-929F-688E40EE88F0}" name="Onglet"/>
    <tableColumn id="3" xr3:uid="{7125C535-DCF6-4C19-A94A-4B539F800C69}" name="Colonne"/>
    <tableColumn id="5" xr3:uid="{D1D2B041-9B0A-4DCD-B335-2A111B03E770}" name="Validé"/>
    <tableColumn id="6" xr3:uid="{84F9462A-2CCC-4F69-A135-1886E5AB5380}" name="Définition"/>
    <tableColumn id="7" xr3:uid="{2D61044F-88B1-4AD6-B203-8FE1083544AB}" name="Sources"/>
    <tableColumn id="8" xr3:uid="{AD67BBBD-DB9F-4DC8-AC00-894BF3480823}" name="Commentaires"/>
    <tableColumn id="9" xr3:uid="{BDE6ECBA-B203-4341-B762-39C429477E07}" name="Vérifié par"/>
    <tableColumn id="10" xr3:uid="{2726D1B7-EB96-429E-929B-E5195107FE40}" name="Réponse"/>
  </tableColumns>
  <tableStyleInfo name="TableStyleDark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Matières" displayName="tblMatières" ref="B4:R35" headerRowDxfId="36" dataDxfId="35" totalsRowDxfId="34">
  <autoFilter ref="B4:R35" xr:uid="{00000000-0009-0000-0100-000001000000}"/>
  <tableColumns count="17">
    <tableColumn id="2" xr3:uid="{00000000-0010-0000-0000-000002000000}" name="Catégorie" totalsRowLabel="Total" dataDxfId="33" totalsRowDxfId="32"/>
    <tableColumn id="3" xr3:uid="{00000000-0010-0000-0000-000003000000}" name="Sous-catégorie" dataDxfId="31" totalsRowDxfId="30"/>
    <tableColumn id="1" xr3:uid="{00000000-0010-0000-0000-000001000000}" name="Matière" dataDxfId="29" totalsRowDxfId="28"/>
    <tableColumn id="26" xr3:uid="{00000000-0010-0000-0000-00001A000000}" name="Ordre" dataDxfId="27" totalsRowDxfId="26"/>
    <tableColumn id="4" xr3:uid="{00000000-0010-0000-0000-000004000000}" name="Nombre déclarations" totalsRowFunction="sum" dataDxfId="25" totalsRowDxfId="24">
      <calculatedColumnFormula>INDEX(rgDéclaration_NbDécl,MATCH(tblMatières[[#This Row],[Matière]],rgDéclaration_Matières,0))</calculatedColumnFormula>
    </tableColumn>
    <tableColumn id="5" xr3:uid="{00000000-0010-0000-0000-000005000000}" name="Quantité attendue net (kg)" totalsRowFunction="sum" dataDxfId="23" totalsRowDxfId="22">
      <calculatedColumnFormula>INT(INDEX(rgDéclaration_QtéFinale,MATCH(tblMatières[[#This Row],[Matière]],rgDéclaration_Matières,0)))</calculatedColumnFormula>
    </tableColumn>
    <tableColumn id="6" xr3:uid="{00000000-0010-0000-0000-000006000000}" name="Quantité déclarée (tonnes)" totalsRowFunction="sum" dataDxfId="21" totalsRowDxfId="20">
      <calculatedColumnFormula>tblMatières[[#This Row],[Quantité attendue net (kg)]]/1000</calculatedColumnFormula>
    </tableColumn>
    <tableColumn id="7" xr3:uid="{00000000-0010-0000-0000-000007000000}" name="Quantité générée (tonnes)" totalsRowFunction="sum" dataDxfId="19" totalsRowDxfId="18">
      <calculatedColumnFormula>tblMatières[[#This Row],[Quantité déclarée (tonnes)]]</calculatedColumnFormula>
    </tableColumn>
    <tableColumn id="8" xr3:uid="{00000000-0010-0000-0000-000008000000}" name="Quantité récupérée (tonnes)" totalsRowFunction="sum" dataDxfId="17" totalsRowDxfId="16">
      <calculatedColumnFormula>tblMatières[[#This Row],[Quantité générée (tonnes)]]*tblMatières[[#This Row],[% récupération]]</calculatedColumnFormula>
    </tableColumn>
    <tableColumn id="10" xr3:uid="{00000000-0010-0000-0000-00000A000000}" name="Quantité éliminée (t)" totalsRowFunction="sum" dataDxfId="15" totalsRowDxfId="14">
      <calculatedColumnFormula>tblMatières[[#This Row],[Quantité générée (tonnes)]]-tblMatières[[#This Row],[Quantité récupérée (tonnes)]]</calculatedColumnFormula>
    </tableColumn>
    <tableColumn id="9" xr3:uid="{00000000-0010-0000-0000-000009000000}" name="% récupération" dataDxfId="13" totalsRowDxfId="12" dataCellStyle="Pourcentage">
      <calculatedColumnFormula>INDEX(Caractérisation!$C$7:$C$37,MATCH(tblMatières[[#This Row],[Matière]],Caractérisation!$B$7:$B$37,0))</calculatedColumnFormula>
    </tableColumn>
    <tableColumn id="12" xr3:uid="{00000000-0010-0000-0000-00000C000000}" name="Coût brut" dataDxfId="11" totalsRowDxfId="10" dataCellStyle="Monétaire">
      <calculatedColumnFormula>INDEX(Paramètres!$C$49:$C$79,MATCH(tblMatières[[#This Row],[Matière]],Paramètres!$B$49:$B$79,0))</calculatedColumnFormula>
    </tableColumn>
    <tableColumn id="13" xr3:uid="{00000000-0010-0000-0000-00000D000000}" name="Revenu brut" dataDxfId="9" totalsRowDxfId="8" dataCellStyle="Monétaire">
      <calculatedColumnFormula>INDEX(Paramètres!$D$49:$D$79,MATCH(tblMatières[[#This Row],[Matière]],Paramètres!$B$49:$B$79,0))</calculatedColumnFormula>
    </tableColumn>
    <tableColumn id="11" xr3:uid="{00000000-0010-0000-0000-00000B000000}" name="Coût net ACA" dataDxfId="7" totalsRowDxfId="6" dataCellStyle="Monétaire">
      <calculatedColumnFormula>tblMatières[[#This Row],[Coût brut]]-tblMatières[[#This Row],[Revenu brut]]</calculatedColumnFormula>
    </tableColumn>
    <tableColumn id="14" xr3:uid="{00000000-0010-0000-0000-00000E000000}" name="Frais d'étude" dataDxfId="5" totalsRowDxfId="4" dataCellStyle="Monétaire">
      <calculatedColumnFormula>INDEX(Paramètres!$E$49:$E$79,MATCH(tblMatières[[#This Row],[Matière]],Paramètres!$B$49:$B$79,0))</calculatedColumnFormula>
    </tableColumn>
    <tableColumn id="42" xr3:uid="{00000000-0010-0000-0000-00002A000000}" name="Quantité déclarée précédente" dataDxfId="3" totalsRowDxfId="2"/>
    <tableColumn id="43" xr3:uid="{00000000-0010-0000-0000-00002B000000}" name="Taux précédent" dataDxfId="1" totalsRowDxfId="0" dataCellStyle="Monétaire"/>
  </tableColumns>
  <tableStyleInfo name="TableStyleMedium1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eq.ca/actualite/documents-et-publications/tarif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713E5-9BD9-4675-973D-95F4BFBE9872}">
  <dimension ref="B2:J19"/>
  <sheetViews>
    <sheetView workbookViewId="0"/>
  </sheetViews>
  <sheetFormatPr baseColWidth="10" defaultRowHeight="15" x14ac:dyDescent="0.25"/>
  <cols>
    <col min="1" max="1" width="2.85546875" customWidth="1"/>
    <col min="2" max="2" width="32.28515625" bestFit="1" customWidth="1"/>
    <col min="3" max="3" width="14.28515625" bestFit="1" customWidth="1"/>
    <col min="4" max="4" width="54.140625" bestFit="1" customWidth="1"/>
    <col min="5" max="5" width="9" bestFit="1" customWidth="1"/>
    <col min="6" max="6" width="99.140625" bestFit="1" customWidth="1"/>
    <col min="7" max="7" width="10.140625" bestFit="1" customWidth="1"/>
    <col min="8" max="8" width="80" customWidth="1"/>
    <col min="9" max="9" width="12.7109375" bestFit="1" customWidth="1"/>
    <col min="10" max="10" width="11" bestFit="1" customWidth="1"/>
  </cols>
  <sheetData>
    <row r="2" spans="2:10" x14ac:dyDescent="0.25">
      <c r="B2" t="s">
        <v>240</v>
      </c>
      <c r="C2" t="s">
        <v>241</v>
      </c>
      <c r="D2" t="s">
        <v>242</v>
      </c>
      <c r="E2" t="s">
        <v>243</v>
      </c>
      <c r="F2" t="s">
        <v>244</v>
      </c>
      <c r="G2" t="s">
        <v>245</v>
      </c>
      <c r="H2" t="s">
        <v>280</v>
      </c>
      <c r="I2" t="s">
        <v>281</v>
      </c>
      <c r="J2" t="s">
        <v>282</v>
      </c>
    </row>
    <row r="3" spans="2:10" x14ac:dyDescent="0.25">
      <c r="B3" t="s">
        <v>246</v>
      </c>
      <c r="C3" t="s">
        <v>247</v>
      </c>
      <c r="D3" t="s">
        <v>289</v>
      </c>
      <c r="E3" t="s">
        <v>47</v>
      </c>
      <c r="F3" t="s">
        <v>248</v>
      </c>
      <c r="G3" t="s">
        <v>285</v>
      </c>
      <c r="H3" t="s">
        <v>284</v>
      </c>
      <c r="I3" t="s">
        <v>283</v>
      </c>
    </row>
    <row r="4" spans="2:10" x14ac:dyDescent="0.25">
      <c r="B4" t="s">
        <v>249</v>
      </c>
      <c r="C4" t="s">
        <v>288</v>
      </c>
      <c r="D4" t="s">
        <v>290</v>
      </c>
      <c r="E4" t="s">
        <v>47</v>
      </c>
      <c r="F4" t="s">
        <v>250</v>
      </c>
      <c r="G4" t="s">
        <v>285</v>
      </c>
      <c r="H4" t="s">
        <v>284</v>
      </c>
      <c r="I4" t="s">
        <v>283</v>
      </c>
    </row>
    <row r="5" spans="2:10" x14ac:dyDescent="0.25">
      <c r="B5" t="s">
        <v>251</v>
      </c>
      <c r="C5" t="s">
        <v>67</v>
      </c>
      <c r="D5" t="s">
        <v>286</v>
      </c>
      <c r="E5" t="s">
        <v>47</v>
      </c>
      <c r="F5" t="s">
        <v>252</v>
      </c>
      <c r="G5" t="s">
        <v>285</v>
      </c>
      <c r="H5" t="s">
        <v>284</v>
      </c>
      <c r="I5" t="s">
        <v>283</v>
      </c>
    </row>
    <row r="6" spans="2:10" x14ac:dyDescent="0.25">
      <c r="B6" t="s">
        <v>253</v>
      </c>
      <c r="C6" t="s">
        <v>254</v>
      </c>
      <c r="D6" t="s">
        <v>162</v>
      </c>
      <c r="E6" t="s">
        <v>47</v>
      </c>
      <c r="F6" t="s">
        <v>255</v>
      </c>
      <c r="G6" t="s">
        <v>285</v>
      </c>
      <c r="H6" t="s">
        <v>284</v>
      </c>
      <c r="I6" t="s">
        <v>283</v>
      </c>
    </row>
    <row r="7" spans="2:10" x14ac:dyDescent="0.25">
      <c r="B7" t="s">
        <v>256</v>
      </c>
      <c r="C7" t="s">
        <v>247</v>
      </c>
      <c r="D7" t="s">
        <v>170</v>
      </c>
      <c r="E7" t="s">
        <v>47</v>
      </c>
      <c r="F7" t="s">
        <v>257</v>
      </c>
      <c r="G7" t="s">
        <v>285</v>
      </c>
      <c r="H7" t="s">
        <v>284</v>
      </c>
      <c r="I7" t="s">
        <v>283</v>
      </c>
    </row>
    <row r="8" spans="2:10" x14ac:dyDescent="0.25">
      <c r="B8" t="s">
        <v>258</v>
      </c>
      <c r="C8" t="s">
        <v>67</v>
      </c>
      <c r="D8" t="s">
        <v>291</v>
      </c>
      <c r="E8" t="s">
        <v>47</v>
      </c>
      <c r="F8" t="s">
        <v>259</v>
      </c>
      <c r="G8" t="s">
        <v>285</v>
      </c>
      <c r="H8" t="s">
        <v>284</v>
      </c>
      <c r="I8" t="s">
        <v>283</v>
      </c>
    </row>
    <row r="9" spans="2:10" x14ac:dyDescent="0.25">
      <c r="B9" t="s">
        <v>260</v>
      </c>
      <c r="C9" t="s">
        <v>67</v>
      </c>
      <c r="D9" t="s">
        <v>287</v>
      </c>
      <c r="E9" t="s">
        <v>47</v>
      </c>
      <c r="F9" t="s">
        <v>261</v>
      </c>
      <c r="G9" t="s">
        <v>285</v>
      </c>
      <c r="H9" t="s">
        <v>284</v>
      </c>
      <c r="I9" t="s">
        <v>283</v>
      </c>
    </row>
    <row r="10" spans="2:10" x14ac:dyDescent="0.25">
      <c r="B10" t="s">
        <v>262</v>
      </c>
      <c r="C10" t="s">
        <v>0</v>
      </c>
      <c r="D10" t="s">
        <v>296</v>
      </c>
      <c r="E10" t="s">
        <v>47</v>
      </c>
      <c r="F10" t="s">
        <v>263</v>
      </c>
      <c r="G10" t="s">
        <v>285</v>
      </c>
      <c r="H10" t="s">
        <v>284</v>
      </c>
      <c r="I10" t="s">
        <v>283</v>
      </c>
    </row>
    <row r="11" spans="2:10" x14ac:dyDescent="0.25">
      <c r="B11" t="s">
        <v>264</v>
      </c>
      <c r="C11" t="s">
        <v>67</v>
      </c>
      <c r="D11" t="s">
        <v>292</v>
      </c>
      <c r="E11" t="s">
        <v>47</v>
      </c>
      <c r="F11" t="s">
        <v>265</v>
      </c>
      <c r="G11" t="s">
        <v>285</v>
      </c>
      <c r="H11" t="s">
        <v>284</v>
      </c>
      <c r="I11" t="s">
        <v>283</v>
      </c>
    </row>
    <row r="12" spans="2:10" x14ac:dyDescent="0.25">
      <c r="B12" t="s">
        <v>40</v>
      </c>
      <c r="C12" t="s">
        <v>67</v>
      </c>
      <c r="D12" t="s">
        <v>293</v>
      </c>
      <c r="E12" t="s">
        <v>47</v>
      </c>
      <c r="F12" t="s">
        <v>266</v>
      </c>
      <c r="G12" t="s">
        <v>285</v>
      </c>
      <c r="H12" t="s">
        <v>284</v>
      </c>
      <c r="I12" t="s">
        <v>283</v>
      </c>
    </row>
    <row r="13" spans="2:10" x14ac:dyDescent="0.25">
      <c r="B13" t="s">
        <v>267</v>
      </c>
      <c r="C13" t="s">
        <v>6</v>
      </c>
      <c r="D13" t="s">
        <v>113</v>
      </c>
      <c r="E13" t="s">
        <v>47</v>
      </c>
      <c r="F13" t="s">
        <v>268</v>
      </c>
      <c r="G13" t="s">
        <v>285</v>
      </c>
      <c r="H13" t="s">
        <v>284</v>
      </c>
      <c r="I13" t="s">
        <v>283</v>
      </c>
    </row>
    <row r="14" spans="2:10" x14ac:dyDescent="0.25">
      <c r="B14" t="s">
        <v>269</v>
      </c>
      <c r="C14" t="s">
        <v>269</v>
      </c>
      <c r="D14" t="s">
        <v>270</v>
      </c>
      <c r="E14" t="s">
        <v>47</v>
      </c>
      <c r="F14" t="s">
        <v>271</v>
      </c>
      <c r="G14" t="s">
        <v>285</v>
      </c>
      <c r="H14" t="s">
        <v>284</v>
      </c>
      <c r="I14" t="s">
        <v>283</v>
      </c>
    </row>
    <row r="15" spans="2:10" x14ac:dyDescent="0.25">
      <c r="B15" t="s">
        <v>272</v>
      </c>
      <c r="C15" t="s">
        <v>0</v>
      </c>
      <c r="D15" t="s">
        <v>180</v>
      </c>
      <c r="E15" t="s">
        <v>47</v>
      </c>
      <c r="F15" t="s">
        <v>273</v>
      </c>
      <c r="G15" t="s">
        <v>285</v>
      </c>
      <c r="H15" t="s">
        <v>284</v>
      </c>
      <c r="I15" t="s">
        <v>283</v>
      </c>
    </row>
    <row r="16" spans="2:10" x14ac:dyDescent="0.25">
      <c r="B16" t="s">
        <v>274</v>
      </c>
      <c r="C16" t="s">
        <v>294</v>
      </c>
      <c r="D16" t="s">
        <v>199</v>
      </c>
      <c r="E16" t="s">
        <v>47</v>
      </c>
      <c r="F16" t="s">
        <v>275</v>
      </c>
      <c r="G16" t="s">
        <v>285</v>
      </c>
      <c r="H16" t="s">
        <v>284</v>
      </c>
      <c r="I16" t="s">
        <v>283</v>
      </c>
    </row>
    <row r="17" spans="2:10" x14ac:dyDescent="0.25">
      <c r="B17" t="s">
        <v>276</v>
      </c>
      <c r="C17" t="s">
        <v>0</v>
      </c>
      <c r="D17" t="s">
        <v>137</v>
      </c>
      <c r="E17" t="s">
        <v>48</v>
      </c>
      <c r="F17" t="s">
        <v>277</v>
      </c>
      <c r="G17" t="s">
        <v>285</v>
      </c>
      <c r="H17" t="s">
        <v>295</v>
      </c>
      <c r="I17" t="s">
        <v>283</v>
      </c>
      <c r="J17" t="s">
        <v>300</v>
      </c>
    </row>
    <row r="18" spans="2:10" x14ac:dyDescent="0.25">
      <c r="B18" t="s">
        <v>278</v>
      </c>
      <c r="C18" t="s">
        <v>0</v>
      </c>
      <c r="D18" t="s">
        <v>105</v>
      </c>
      <c r="E18" t="s">
        <v>47</v>
      </c>
      <c r="F18" t="s">
        <v>279</v>
      </c>
      <c r="G18" t="s">
        <v>285</v>
      </c>
      <c r="H18" t="s">
        <v>284</v>
      </c>
      <c r="I18" t="s">
        <v>283</v>
      </c>
    </row>
    <row r="19" spans="2:10" x14ac:dyDescent="0.25">
      <c r="B19" t="s">
        <v>297</v>
      </c>
      <c r="C19" t="s">
        <v>59</v>
      </c>
      <c r="D19" t="s">
        <v>299</v>
      </c>
      <c r="E19" t="s">
        <v>47</v>
      </c>
      <c r="F19" t="s">
        <v>298</v>
      </c>
      <c r="G19" t="s">
        <v>285</v>
      </c>
      <c r="H19" t="s">
        <v>284</v>
      </c>
      <c r="I19" t="s">
        <v>283</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rgb="FFFFC000"/>
    <pageSetUpPr fitToPage="1"/>
  </sheetPr>
  <dimension ref="A1:J55"/>
  <sheetViews>
    <sheetView showGridLines="0" zoomScale="90" zoomScaleNormal="90" zoomScaleSheetLayoutView="70" workbookViewId="0">
      <pane xSplit="2" ySplit="9" topLeftCell="C13" activePane="bottomRight" state="frozen"/>
      <selection pane="topRight" activeCell="C1" sqref="C1"/>
      <selection pane="bottomLeft" activeCell="A10" sqref="A10"/>
      <selection pane="bottomRight" activeCell="J29" sqref="J29"/>
    </sheetView>
  </sheetViews>
  <sheetFormatPr baseColWidth="10" defaultColWidth="9.140625" defaultRowHeight="15" x14ac:dyDescent="0.25"/>
  <cols>
    <col min="1" max="1" width="29.28515625" customWidth="1"/>
    <col min="2" max="2" width="59.140625" bestFit="1" customWidth="1"/>
    <col min="3" max="3" width="16.85546875" customWidth="1"/>
    <col min="4" max="4" width="16.42578125" customWidth="1"/>
    <col min="5" max="5" width="12.85546875" bestFit="1" customWidth="1"/>
    <col min="6" max="6" width="16.140625" bestFit="1" customWidth="1"/>
    <col min="7" max="7" width="12.7109375" bestFit="1" customWidth="1"/>
    <col min="8" max="8" width="19" bestFit="1" customWidth="1"/>
    <col min="9" max="9" width="15.7109375" bestFit="1" customWidth="1"/>
    <col min="10" max="10" width="17.7109375" bestFit="1" customWidth="1"/>
  </cols>
  <sheetData>
    <row r="1" spans="1:10" s="156" customFormat="1" ht="15.75" thickBot="1" x14ac:dyDescent="0.3">
      <c r="A1" s="4" t="s">
        <v>57</v>
      </c>
      <c r="B1" s="36"/>
    </row>
    <row r="2" spans="1:10" ht="6.75" customHeight="1" thickBot="1" x14ac:dyDescent="0.3">
      <c r="A2" s="35"/>
      <c r="B2" s="35"/>
    </row>
    <row r="3" spans="1:10" ht="18.75" thickBot="1" x14ac:dyDescent="0.3">
      <c r="A3" s="91" t="str">
        <f>Paramètres!B4</f>
        <v>Tarif</v>
      </c>
      <c r="B3" s="242">
        <f>AnnéeTarif</f>
        <v>2021</v>
      </c>
    </row>
    <row r="4" spans="1:10" ht="18.75" thickBot="1" x14ac:dyDescent="0.3">
      <c r="A4" s="91" t="str">
        <f>Paramètres!B5</f>
        <v>Scénario</v>
      </c>
      <c r="B4" s="242" t="str">
        <f>Paramètres!C5</f>
        <v xml:space="preserve">Projet de tarif </v>
      </c>
    </row>
    <row r="5" spans="1:10" ht="18.75" thickBot="1" x14ac:dyDescent="0.3">
      <c r="A5" s="91" t="str">
        <f>Paramètres!B6</f>
        <v>Année de référence</v>
      </c>
      <c r="B5" s="92">
        <f>AnnéeRéf</f>
        <v>2020</v>
      </c>
    </row>
    <row r="6" spans="1:10" ht="15.75" customHeight="1" x14ac:dyDescent="0.25">
      <c r="A6" s="102"/>
      <c r="B6" s="102"/>
      <c r="C6" s="668"/>
      <c r="D6" s="669"/>
      <c r="E6" s="656" t="s">
        <v>215</v>
      </c>
      <c r="F6" s="657"/>
      <c r="G6" s="657"/>
      <c r="H6" s="657"/>
      <c r="I6" s="657"/>
      <c r="J6" s="657"/>
    </row>
    <row r="7" spans="1:10" ht="45.75" thickBot="1" x14ac:dyDescent="0.3">
      <c r="A7" s="265" t="str">
        <f>'Facteur 1'!A7</f>
        <v>CATÉGORIE</v>
      </c>
      <c r="B7" s="18" t="str">
        <f>'Facteur 1'!B7</f>
        <v>Matière</v>
      </c>
      <c r="C7" s="44" t="str">
        <f>'Facteur 1'!D7</f>
        <v xml:space="preserve">Quantité récupérée
(tonnes) </v>
      </c>
      <c r="D7" s="47" t="str">
        <f>'Facteur 1'!F7</f>
        <v>Quantité déclarée 
(tonnes)</v>
      </c>
      <c r="E7" s="251" t="s">
        <v>181</v>
      </c>
      <c r="F7" s="167" t="s">
        <v>183</v>
      </c>
      <c r="G7" s="167" t="s">
        <v>182</v>
      </c>
      <c r="H7" s="167" t="s">
        <v>184</v>
      </c>
      <c r="I7" s="167" t="str">
        <f>'Facteur 1'!G7</f>
        <v>Proportion par catégorie
(%)</v>
      </c>
      <c r="J7" s="167" t="s">
        <v>84</v>
      </c>
    </row>
    <row r="8" spans="1:10" ht="15.75" thickBot="1" x14ac:dyDescent="0.3">
      <c r="A8" s="97"/>
      <c r="B8" s="168" t="s">
        <v>68</v>
      </c>
      <c r="C8" s="71"/>
      <c r="D8" s="72"/>
      <c r="E8" s="148">
        <v>0.4</v>
      </c>
      <c r="F8" s="149"/>
      <c r="G8" s="149"/>
      <c r="H8" s="149"/>
      <c r="I8" s="149"/>
      <c r="J8" s="149"/>
    </row>
    <row r="9" spans="1:10" x14ac:dyDescent="0.25">
      <c r="A9" s="43" t="str">
        <f>'Facteur 1'!A9</f>
        <v>IMPRIMÉS</v>
      </c>
      <c r="B9" s="45"/>
      <c r="C9" s="78"/>
      <c r="D9" s="100"/>
      <c r="E9" s="121"/>
      <c r="F9" s="122"/>
      <c r="G9" s="122"/>
      <c r="H9" s="122"/>
      <c r="I9" s="75"/>
      <c r="J9" s="108"/>
    </row>
    <row r="10" spans="1:10" x14ac:dyDescent="0.25">
      <c r="A10" s="38"/>
      <c r="B10" s="37" t="str">
        <f>INDEX(ListeMatières,1)</f>
        <v>Encarts et circulaires imprimés sur du papier journal</v>
      </c>
      <c r="C10" s="26">
        <f>INDEX(tblMatières[Quantité récupérée (tonnes)],MATCH($B10,tblMatières[Matière],0))</f>
        <v>55656.984739085055</v>
      </c>
      <c r="D10" s="48">
        <f>INDEX(tblMatières[Quantité déclarée (tonnes)],MATCH($B10,tblMatières[Matière],0))</f>
        <v>65368.142999999996</v>
      </c>
      <c r="E10" s="187">
        <f>INDEX(tblMatières[Coût brut],MATCH($B10,tblMatières[Matière],0))</f>
        <v>213.01237353598685</v>
      </c>
      <c r="F10" s="196">
        <f>INDEX(tblMatières[Revenu brut],MATCH($B10,tblMatières[Matière],0))</f>
        <v>69.564234705408097</v>
      </c>
      <c r="G10" s="196">
        <f t="shared" ref="G10:G15" si="0">E10-F10</f>
        <v>143.44813883057876</v>
      </c>
      <c r="H10" s="307">
        <f t="shared" ref="H10:H15" si="1">G10*C10</f>
        <v>7983890.8737436766</v>
      </c>
      <c r="I10" s="472">
        <f t="shared" ref="I10:I15" si="2">$H10/$H$16</f>
        <v>0.71632463912810507</v>
      </c>
      <c r="J10" s="307">
        <f t="shared" ref="J10:J15" si="3">I10*$J$54</f>
        <v>12578968.703343248</v>
      </c>
    </row>
    <row r="11" spans="1:10" x14ac:dyDescent="0.25">
      <c r="A11" s="38"/>
      <c r="B11" s="37" t="str">
        <f>INDEX(ListeMatières,2)</f>
        <v>Catalogues et publications</v>
      </c>
      <c r="C11" s="26">
        <f>INDEX(tblMatières[Quantité récupérée (tonnes)],MATCH($B11,tblMatières[Matière],0))</f>
        <v>4441.1866763444323</v>
      </c>
      <c r="D11" s="48">
        <f>INDEX(tblMatières[Quantité déclarée (tonnes)],MATCH($B11,tblMatières[Matière],0))</f>
        <v>5387.2479999999996</v>
      </c>
      <c r="E11" s="188">
        <f>INDEX(tblMatières[Coût brut],MATCH($B11,tblMatières[Matière],0))</f>
        <v>210.33372711045467</v>
      </c>
      <c r="F11" s="197">
        <f>INDEX(tblMatières[Revenu brut],MATCH($B11,tblMatières[Matière],0))</f>
        <v>65.637157231767873</v>
      </c>
      <c r="G11" s="204">
        <f t="shared" si="0"/>
        <v>144.6965698786868</v>
      </c>
      <c r="H11" s="308">
        <f t="shared" si="1"/>
        <v>642624.47825796495</v>
      </c>
      <c r="I11" s="473">
        <f t="shared" si="2"/>
        <v>5.7657069061012124E-2</v>
      </c>
      <c r="J11" s="309">
        <f t="shared" si="3"/>
        <v>1012482.9269139066</v>
      </c>
    </row>
    <row r="12" spans="1:10" x14ac:dyDescent="0.25">
      <c r="A12" s="38"/>
      <c r="B12" s="37" t="str">
        <f>INDEX(ListeMatières,3)</f>
        <v>Magazines</v>
      </c>
      <c r="C12" s="26">
        <f>INDEX(tblMatières[Quantité récupérée (tonnes)],MATCH($B12,tblMatières[Matière],0))</f>
        <v>2573.084473947371</v>
      </c>
      <c r="D12" s="48">
        <f>INDEX(tblMatières[Quantité déclarée (tonnes)],MATCH($B12,tblMatières[Matière],0))</f>
        <v>3004.6579999999999</v>
      </c>
      <c r="E12" s="188">
        <f>INDEX(tblMatières[Coût brut],MATCH($B12,tblMatières[Matière],0))</f>
        <v>208.06579350908441</v>
      </c>
      <c r="F12" s="197">
        <f>INDEX(tblMatières[Revenu brut],MATCH($B12,tblMatières[Matière],0))</f>
        <v>68.609800395828401</v>
      </c>
      <c r="G12" s="197">
        <f t="shared" si="0"/>
        <v>139.455993113256</v>
      </c>
      <c r="H12" s="309">
        <f t="shared" si="1"/>
        <v>358832.05067863048</v>
      </c>
      <c r="I12" s="473">
        <f t="shared" si="2"/>
        <v>3.2194858781861173E-2</v>
      </c>
      <c r="J12" s="309">
        <f t="shared" si="3"/>
        <v>565355.56492726237</v>
      </c>
    </row>
    <row r="13" spans="1:10" x14ac:dyDescent="0.25">
      <c r="A13" s="38"/>
      <c r="B13" s="37" t="str">
        <f>INDEX(ListeMatières,4)</f>
        <v>Annuaires téléphoniques</v>
      </c>
      <c r="C13" s="26">
        <f>INDEX(tblMatières[Quantité récupérée (tonnes)],MATCH($B13,tblMatières[Matière],0))</f>
        <v>261.22380655183559</v>
      </c>
      <c r="D13" s="48">
        <f>INDEX(tblMatières[Quantité déclarée (tonnes)],MATCH($B13,tblMatières[Matière],0))</f>
        <v>320.28500000000003</v>
      </c>
      <c r="E13" s="188">
        <f>INDEX(tblMatières[Coût brut],MATCH($B13,tblMatières[Matière],0))</f>
        <v>209.60382448981511</v>
      </c>
      <c r="F13" s="197">
        <f>INDEX(tblMatières[Revenu brut],MATCH($B13,tblMatières[Matière],0))</f>
        <v>64.87730069098059</v>
      </c>
      <c r="G13" s="197">
        <f t="shared" si="0"/>
        <v>144.72652379883453</v>
      </c>
      <c r="H13" s="309">
        <f t="shared" si="1"/>
        <v>37806.013455746383</v>
      </c>
      <c r="I13" s="473">
        <f t="shared" si="2"/>
        <v>3.3920026430498107E-3</v>
      </c>
      <c r="J13" s="309">
        <f t="shared" si="3"/>
        <v>59565.025070916992</v>
      </c>
    </row>
    <row r="14" spans="1:10" x14ac:dyDescent="0.25">
      <c r="A14" s="38"/>
      <c r="B14" s="37" t="str">
        <f>INDEX(ListeMatières,5)</f>
        <v>Papier à usage général</v>
      </c>
      <c r="C14" s="26">
        <f>INDEX(tblMatières[Quantité récupérée (tonnes)],MATCH($B14,tblMatières[Matière],0))</f>
        <v>2901.4502265425795</v>
      </c>
      <c r="D14" s="48">
        <f>INDEX(tblMatières[Quantité déclarée (tonnes)],MATCH($B14,tblMatières[Matière],0))</f>
        <v>5107.7979999999998</v>
      </c>
      <c r="E14" s="188">
        <f>INDEX(tblMatières[Coût brut],MATCH($B14,tblMatières[Matière],0))</f>
        <v>212.65751376560254</v>
      </c>
      <c r="F14" s="197">
        <f>INDEX(tblMatières[Revenu brut],MATCH($B14,tblMatières[Matière],0))</f>
        <v>64.612659554051106</v>
      </c>
      <c r="G14" s="197">
        <f t="shared" si="0"/>
        <v>148.04485421155144</v>
      </c>
      <c r="H14" s="309">
        <f t="shared" si="1"/>
        <v>429544.77579056908</v>
      </c>
      <c r="I14" s="473">
        <f t="shared" si="2"/>
        <v>3.8539292604742675E-2</v>
      </c>
      <c r="J14" s="309">
        <f t="shared" si="3"/>
        <v>676766.55114657967</v>
      </c>
    </row>
    <row r="15" spans="1:10" x14ac:dyDescent="0.25">
      <c r="A15" s="38"/>
      <c r="B15" s="37" t="str">
        <f>INDEX(ListeMatières,6)</f>
        <v>Autres imprimés</v>
      </c>
      <c r="C15" s="26">
        <f>INDEX(tblMatières[Quantité récupérée (tonnes)],MATCH($B15,tblMatières[Matière],0))</f>
        <v>11814.415994167999</v>
      </c>
      <c r="D15" s="48">
        <f>INDEX(tblMatières[Quantité déclarée (tonnes)],MATCH($B15,tblMatières[Matière],0))</f>
        <v>18948.096000000001</v>
      </c>
      <c r="E15" s="189">
        <f>INDEX(tblMatières[Coût brut],MATCH($B15,tblMatières[Matière],0))</f>
        <v>199.2953539390646</v>
      </c>
      <c r="F15" s="198">
        <f>INDEX(tblMatières[Revenu brut],MATCH($B15,tblMatières[Matière],0))</f>
        <v>56.001442197631327</v>
      </c>
      <c r="G15" s="198">
        <f t="shared" si="0"/>
        <v>143.29391174143328</v>
      </c>
      <c r="H15" s="310">
        <f t="shared" si="1"/>
        <v>1692933.8827448869</v>
      </c>
      <c r="I15" s="474">
        <f t="shared" si="2"/>
        <v>0.1518921377812292</v>
      </c>
      <c r="J15" s="310">
        <f t="shared" si="3"/>
        <v>2667291.2574382201</v>
      </c>
    </row>
    <row r="16" spans="1:10" ht="15.75" thickBot="1" x14ac:dyDescent="0.3">
      <c r="A16" s="55" t="str">
        <f>'Facteur 1'!A16</f>
        <v>IMPRIMÉS TOTAL</v>
      </c>
      <c r="B16" s="50"/>
      <c r="C16" s="21">
        <f t="shared" ref="C16:D16" si="4">SUBTOTAL(9,C10:C15)</f>
        <v>77648.345916639271</v>
      </c>
      <c r="D16" s="28">
        <f t="shared" si="4"/>
        <v>98136.228000000003</v>
      </c>
      <c r="E16" s="190"/>
      <c r="F16" s="199"/>
      <c r="G16" s="199"/>
      <c r="H16" s="311">
        <f t="shared" ref="H16:J16" si="5">SUBTOTAL(9,H10:H15)</f>
        <v>11145632.074671473</v>
      </c>
      <c r="I16" s="446">
        <f t="shared" si="5"/>
        <v>1</v>
      </c>
      <c r="J16" s="297">
        <f t="shared" si="5"/>
        <v>17560430.028840132</v>
      </c>
    </row>
    <row r="17" spans="1:10" x14ac:dyDescent="0.25">
      <c r="A17" s="38"/>
      <c r="B17" s="39"/>
      <c r="C17" s="35"/>
      <c r="D17" s="39"/>
      <c r="E17" s="191"/>
      <c r="F17" s="200"/>
      <c r="G17" s="200"/>
      <c r="H17" s="312"/>
      <c r="I17" s="79"/>
      <c r="J17" s="295"/>
    </row>
    <row r="18" spans="1:10" x14ac:dyDescent="0.25">
      <c r="A18" s="43" t="str">
        <f>'Facteur 1'!A18</f>
        <v>CONTENANTS ET EMBALLAGES</v>
      </c>
      <c r="B18" s="45"/>
      <c r="C18" s="11"/>
      <c r="D18" s="45"/>
      <c r="E18" s="192"/>
      <c r="F18" s="201"/>
      <c r="G18" s="201"/>
      <c r="H18" s="313"/>
      <c r="I18" s="78"/>
      <c r="J18" s="302"/>
    </row>
    <row r="19" spans="1:10" x14ac:dyDescent="0.25">
      <c r="A19" s="46" t="str">
        <f>'Facteur 1'!A19</f>
        <v>Papier et carton</v>
      </c>
      <c r="B19" s="37" t="str">
        <f>INDEX(ListeMatières,7)</f>
        <v>Carton ondulé</v>
      </c>
      <c r="C19" s="26">
        <f>INDEX(tblMatières[Quantité récupérée (tonnes)],MATCH($B19,tblMatières[Matière],0))</f>
        <v>45258.102855473473</v>
      </c>
      <c r="D19" s="48">
        <f>INDEX(tblMatières[Quantité déclarée (tonnes)],MATCH($B19,tblMatières[Matière],0))</f>
        <v>58408.389000000003</v>
      </c>
      <c r="E19" s="187">
        <f>INDEX(tblMatières[Coût brut],MATCH($B19,tblMatières[Matière],0))</f>
        <v>278.38570446687663</v>
      </c>
      <c r="F19" s="197">
        <f>INDEX(tblMatières[Revenu brut],MATCH($B19,tblMatières[Matière],0))</f>
        <v>86.352955609169825</v>
      </c>
      <c r="G19" s="197">
        <f t="shared" ref="G19:G25" si="6">E19-F19</f>
        <v>192.03274885770679</v>
      </c>
      <c r="H19" s="309">
        <f t="shared" ref="H19:H25" si="7">G19*C19</f>
        <v>8691037.8994213995</v>
      </c>
      <c r="I19" s="473">
        <f t="shared" ref="I19:I25" si="8">$H19/$H$49</f>
        <v>0.12331266493147792</v>
      </c>
      <c r="J19" s="309">
        <f t="shared" ref="J19:J25" si="9">I19*$J$55</f>
        <v>7615595.4242361886</v>
      </c>
    </row>
    <row r="20" spans="1:10" x14ac:dyDescent="0.25">
      <c r="A20" s="46"/>
      <c r="B20" s="37" t="str">
        <f>INDEX(ListeMatières,8)</f>
        <v>Sacs de papier kraft</v>
      </c>
      <c r="C20" s="26">
        <f>INDEX(tblMatières[Quantité récupérée (tonnes)],MATCH($B20,tblMatières[Matière],0))</f>
        <v>1611.354102772769</v>
      </c>
      <c r="D20" s="48">
        <f>INDEX(tblMatières[Quantité déclarée (tonnes)],MATCH($B20,tblMatières[Matière],0))</f>
        <v>3906.12</v>
      </c>
      <c r="E20" s="188">
        <f>INDEX(tblMatières[Coût brut],MATCH($B20,tblMatières[Matière],0))</f>
        <v>278.38570446687663</v>
      </c>
      <c r="F20" s="197">
        <f>INDEX(tblMatières[Revenu brut],MATCH($B20,tblMatières[Matière],0))</f>
        <v>86.352955609169825</v>
      </c>
      <c r="G20" s="197">
        <f t="shared" si="6"/>
        <v>192.03274885770679</v>
      </c>
      <c r="H20" s="309">
        <f t="shared" si="7"/>
        <v>309432.75773859862</v>
      </c>
      <c r="I20" s="473">
        <f t="shared" si="8"/>
        <v>4.3903821862729736E-3</v>
      </c>
      <c r="J20" s="309">
        <f t="shared" si="9"/>
        <v>271143.06958663021</v>
      </c>
    </row>
    <row r="21" spans="1:10" x14ac:dyDescent="0.25">
      <c r="A21" s="46"/>
      <c r="B21" s="37" t="str">
        <f>INDEX(ListeMatières,9)</f>
        <v>Emballages de papier kraft</v>
      </c>
      <c r="C21" s="26">
        <f>INDEX(tblMatières[Quantité récupérée (tonnes)],MATCH($B21,tblMatières[Matière],0))</f>
        <v>511.60760801223461</v>
      </c>
      <c r="D21" s="48">
        <f>INDEX(tblMatières[Quantité déclarée (tonnes)],MATCH($B21,tblMatières[Matière],0))</f>
        <v>2207.5160000000001</v>
      </c>
      <c r="E21" s="188">
        <f>INDEX(tblMatières[Coût brut],MATCH($B21,tblMatières[Matière],0))</f>
        <v>278.38570446687663</v>
      </c>
      <c r="F21" s="197">
        <f>INDEX(tblMatières[Revenu brut],MATCH($B21,tblMatières[Matière],0))</f>
        <v>86.352955609169825</v>
      </c>
      <c r="G21" s="197">
        <f t="shared" si="6"/>
        <v>192.03274885770679</v>
      </c>
      <c r="H21" s="309">
        <f t="shared" si="7"/>
        <v>98245.415303105547</v>
      </c>
      <c r="I21" s="473">
        <f t="shared" si="8"/>
        <v>1.3939536472545231E-3</v>
      </c>
      <c r="J21" s="309">
        <f t="shared" si="9"/>
        <v>86088.375622470296</v>
      </c>
    </row>
    <row r="22" spans="1:10" x14ac:dyDescent="0.25">
      <c r="A22" s="46"/>
      <c r="B22" s="37" t="str">
        <f>INDEX(ListeMatières,10)</f>
        <v>Carton plat et autres emballages de papier</v>
      </c>
      <c r="C22" s="26">
        <f>INDEX(tblMatières[Quantité récupérée (tonnes)],MATCH($B22,tblMatières[Matière],0))</f>
        <v>57330.131093507713</v>
      </c>
      <c r="D22" s="48">
        <f>INDEX(tblMatières[Quantité déclarée (tonnes)],MATCH($B22,tblMatières[Matière],0))</f>
        <v>92654.394</v>
      </c>
      <c r="E22" s="188">
        <f>INDEX(tblMatières[Coût brut],MATCH($B22,tblMatières[Matière],0))</f>
        <v>254.31634894760487</v>
      </c>
      <c r="F22" s="197">
        <f>INDEX(tblMatières[Revenu brut],MATCH($B22,tblMatières[Matière],0))</f>
        <v>67.188258888818027</v>
      </c>
      <c r="G22" s="197">
        <f t="shared" si="6"/>
        <v>187.12809005878682</v>
      </c>
      <c r="H22" s="309">
        <f t="shared" si="7"/>
        <v>10728077.934347967</v>
      </c>
      <c r="I22" s="473">
        <f t="shared" si="8"/>
        <v>0.15221517786329117</v>
      </c>
      <c r="J22" s="309">
        <f t="shared" si="9"/>
        <v>9400568.9738286361</v>
      </c>
    </row>
    <row r="23" spans="1:10" x14ac:dyDescent="0.25">
      <c r="A23" s="46"/>
      <c r="B23" s="37" t="str">
        <f>INDEX(ListeMatières,11)</f>
        <v>Contenants à pignon</v>
      </c>
      <c r="C23" s="26">
        <f>INDEX(tblMatières[Quantité récupérée (tonnes)],MATCH($B23,tblMatières[Matière],0))</f>
        <v>7539.7734574724036</v>
      </c>
      <c r="D23" s="48">
        <f>INDEX(tblMatières[Quantité déclarée (tonnes)],MATCH($B23,tblMatières[Matière],0))</f>
        <v>9680.7970000000005</v>
      </c>
      <c r="E23" s="188">
        <f>INDEX(tblMatières[Coût brut],MATCH($B23,tblMatières[Matière],0))</f>
        <v>279.37555733501847</v>
      </c>
      <c r="F23" s="197">
        <f>INDEX(tblMatières[Revenu brut],MATCH($B23,tblMatières[Matière],0))</f>
        <v>62.63356136693244</v>
      </c>
      <c r="G23" s="197">
        <f t="shared" si="6"/>
        <v>216.74199596808603</v>
      </c>
      <c r="H23" s="309">
        <f t="shared" si="7"/>
        <v>1634185.5483197658</v>
      </c>
      <c r="I23" s="473">
        <f t="shared" si="8"/>
        <v>2.3186617903166042E-2</v>
      </c>
      <c r="J23" s="309">
        <f t="shared" si="9"/>
        <v>1431968.9003962867</v>
      </c>
    </row>
    <row r="24" spans="1:10" x14ac:dyDescent="0.25">
      <c r="A24" s="46"/>
      <c r="B24" s="37" t="str">
        <f>INDEX(ListeMatières,12)</f>
        <v>Laminés de papier</v>
      </c>
      <c r="C24" s="26">
        <f>INDEX(tblMatières[Quantité récupérée (tonnes)],MATCH($B24,tblMatières[Matière],0))</f>
        <v>4385.0394479041151</v>
      </c>
      <c r="D24" s="48">
        <f>INDEX(tblMatières[Quantité déclarée (tonnes)],MATCH($B24,tblMatières[Matière],0))</f>
        <v>13115.505999999999</v>
      </c>
      <c r="E24" s="188">
        <f>INDEX(tblMatières[Coût brut],MATCH($B24,tblMatières[Matière],0))</f>
        <v>294.4157819747079</v>
      </c>
      <c r="F24" s="197">
        <f>INDEX(tblMatières[Revenu brut],MATCH($B24,tblMatières[Matière],0))</f>
        <v>30.532988275193137</v>
      </c>
      <c r="G24" s="197">
        <f t="shared" si="6"/>
        <v>263.88279369951476</v>
      </c>
      <c r="H24" s="309">
        <f t="shared" si="7"/>
        <v>1157136.4599955156</v>
      </c>
      <c r="I24" s="473">
        <f t="shared" si="8"/>
        <v>1.6418013846300566E-2</v>
      </c>
      <c r="J24" s="309">
        <f t="shared" si="9"/>
        <v>1013950.6042823013</v>
      </c>
    </row>
    <row r="25" spans="1:10" x14ac:dyDescent="0.25">
      <c r="A25" s="46"/>
      <c r="B25" s="37" t="str">
        <f>INDEX(ListeMatières,13)</f>
        <v>Contenants aseptiques</v>
      </c>
      <c r="C25" s="26">
        <f>INDEX(tblMatières[Quantité récupérée (tonnes)],MATCH($B25,tblMatières[Matière],0))</f>
        <v>3043.685539740221</v>
      </c>
      <c r="D25" s="48">
        <f>INDEX(tblMatières[Quantité déclarée (tonnes)],MATCH($B25,tblMatières[Matière],0))</f>
        <v>5539.04</v>
      </c>
      <c r="E25" s="189">
        <f>INDEX(tblMatières[Coût brut],MATCH($B25,tblMatières[Matière],0))</f>
        <v>282.06334093912164</v>
      </c>
      <c r="F25" s="197">
        <f>INDEX(tblMatières[Revenu brut],MATCH($B25,tblMatières[Matière],0))</f>
        <v>54.290309037935479</v>
      </c>
      <c r="G25" s="197">
        <f t="shared" si="6"/>
        <v>227.77303190118616</v>
      </c>
      <c r="H25" s="309">
        <f t="shared" si="7"/>
        <v>693269.48354042834</v>
      </c>
      <c r="I25" s="473">
        <f t="shared" si="8"/>
        <v>9.8364439921187052E-3</v>
      </c>
      <c r="J25" s="309">
        <f t="shared" si="9"/>
        <v>607483.24512134073</v>
      </c>
    </row>
    <row r="26" spans="1:10" x14ac:dyDescent="0.25">
      <c r="A26" s="43" t="str">
        <f>'Facteur 1'!A26</f>
        <v>Papier et carton TOTAL</v>
      </c>
      <c r="B26" s="51"/>
      <c r="C26" s="22">
        <f t="shared" ref="C26:D26" si="10">SUBTOTAL(9,C19:C25)</f>
        <v>119679.69410488293</v>
      </c>
      <c r="D26" s="29">
        <f t="shared" si="10"/>
        <v>185511.76199999999</v>
      </c>
      <c r="E26" s="193"/>
      <c r="F26" s="202"/>
      <c r="G26" s="202"/>
      <c r="H26" s="314">
        <f t="shared" ref="H26:J26" si="11">SUBTOTAL(9,H19:H25)</f>
        <v>23311385.498666778</v>
      </c>
      <c r="I26" s="87">
        <f t="shared" si="11"/>
        <v>0.3307532543698819</v>
      </c>
      <c r="J26" s="298">
        <f t="shared" si="11"/>
        <v>20426798.593073852</v>
      </c>
    </row>
    <row r="27" spans="1:10" x14ac:dyDescent="0.25">
      <c r="A27" s="46" t="str">
        <f>'Facteur 1'!A27</f>
        <v>Plastique</v>
      </c>
      <c r="B27" s="37" t="str">
        <f>INDEX(ListeMatières,14)</f>
        <v>Bouteilles PET</v>
      </c>
      <c r="C27" s="26">
        <f>INDEX(tblMatières[Quantité récupérée (tonnes)],MATCH($B27,tblMatières[Matière],0))</f>
        <v>21038.603224586255</v>
      </c>
      <c r="D27" s="48">
        <f>INDEX(tblMatières[Quantité déclarée (tonnes)],MATCH($B27,tblMatières[Matière],0))</f>
        <v>31023.692999999999</v>
      </c>
      <c r="E27" s="188">
        <f>INDEX(tblMatières[Coût brut],MATCH($B27,tblMatières[Matière],0))</f>
        <v>485.58227755221094</v>
      </c>
      <c r="F27" s="197">
        <f>INDEX(tblMatières[Revenu brut],MATCH($B27,tblMatières[Matière],0))</f>
        <v>243.16636648701947</v>
      </c>
      <c r="G27" s="197">
        <f t="shared" ref="G27:G37" si="12">E27-F27</f>
        <v>242.41591106519147</v>
      </c>
      <c r="H27" s="309">
        <f t="shared" ref="H27:H37" si="13">G27*C27</f>
        <v>5100092.168227152</v>
      </c>
      <c r="I27" s="635">
        <f t="shared" ref="I27:I37" si="14">$H27/$H$49</f>
        <v>7.2362583610654674E-2</v>
      </c>
      <c r="J27" s="309">
        <f t="shared" ref="J27:J37" si="15">I27*$J$55</f>
        <v>4468998.8732092967</v>
      </c>
    </row>
    <row r="28" spans="1:10" x14ac:dyDescent="0.25">
      <c r="A28" s="38"/>
      <c r="B28" s="37" t="str">
        <f>INDEX(ListeMatières,15)</f>
        <v>Bouteilles, tous formats, et contenants &lt; 5l. HDPE</v>
      </c>
      <c r="C28" s="26">
        <f>INDEX(tblMatières[Quantité récupérée (tonnes)],MATCH($B28,tblMatières[Matière],0))</f>
        <v>13818.283875375495</v>
      </c>
      <c r="D28" s="48">
        <f>INDEX(tblMatières[Quantité déclarée (tonnes)],MATCH($B28,tblMatières[Matière],0))</f>
        <v>20311.441999999999</v>
      </c>
      <c r="E28" s="188">
        <f>INDEX(tblMatières[Coût brut],MATCH($B28,tblMatières[Matière],0))</f>
        <v>423.77927263218061</v>
      </c>
      <c r="F28" s="197">
        <f>INDEX(tblMatières[Revenu brut],MATCH($B28,tblMatières[Matière],0))</f>
        <v>343.42774011939889</v>
      </c>
      <c r="G28" s="197">
        <f t="shared" si="12"/>
        <v>80.351532512781716</v>
      </c>
      <c r="H28" s="309">
        <f t="shared" si="13"/>
        <v>1110320.2860830815</v>
      </c>
      <c r="I28" s="634">
        <f t="shared" si="14"/>
        <v>1.575376324311057E-2</v>
      </c>
      <c r="J28" s="309">
        <f t="shared" si="15"/>
        <v>972927.53615697252</v>
      </c>
    </row>
    <row r="29" spans="1:10" x14ac:dyDescent="0.25">
      <c r="A29" s="38"/>
      <c r="B29" s="37" t="str">
        <f>INDEX(ListeMatières,16)</f>
        <v>Plastiques stratifiés</v>
      </c>
      <c r="C29" s="26">
        <f>INDEX(tblMatières[Quantité récupérée (tonnes)],MATCH($B29,tblMatières[Matière],0))</f>
        <v>2566.4755872332394</v>
      </c>
      <c r="D29" s="48">
        <f>INDEX(tblMatières[Quantité déclarée (tonnes)],MATCH($B29,tblMatières[Matière],0))</f>
        <v>15885.589</v>
      </c>
      <c r="E29" s="188">
        <f>INDEX(tblMatières[Coût brut],MATCH($B29,tblMatières[Matière],0))</f>
        <v>564.98976183310936</v>
      </c>
      <c r="F29" s="197">
        <f>INDEX(tblMatières[Revenu brut],MATCH($B29,tblMatières[Matière],0))</f>
        <v>-56.983486765191337</v>
      </c>
      <c r="G29" s="197">
        <f t="shared" si="12"/>
        <v>621.97324859830064</v>
      </c>
      <c r="H29" s="309">
        <f t="shared" si="13"/>
        <v>1596279.1584396893</v>
      </c>
      <c r="I29" s="634">
        <f t="shared" si="14"/>
        <v>2.2648783641235713E-2</v>
      </c>
      <c r="J29" s="309">
        <f t="shared" si="15"/>
        <v>1398753.1058432288</v>
      </c>
    </row>
    <row r="30" spans="1:10" x14ac:dyDescent="0.25">
      <c r="A30" s="38"/>
      <c r="B30" s="37" t="str">
        <f>INDEX(ListeMatières,17)</f>
        <v>Pellicules HDPE et LDPE</v>
      </c>
      <c r="C30" s="26">
        <f>INDEX(tblMatières[Quantité récupérée (tonnes)],MATCH($B30,tblMatières[Matière],0))</f>
        <v>7126.9914428520478</v>
      </c>
      <c r="D30" s="48">
        <f>INDEX(tblMatières[Quantité déclarée (tonnes)],MATCH($B30,tblMatières[Matière],0))</f>
        <v>20483.853999999999</v>
      </c>
      <c r="E30" s="188">
        <f>INDEX(tblMatières[Coût brut],MATCH($B30,tblMatières[Matière],0))</f>
        <v>587.80400427291488</v>
      </c>
      <c r="F30" s="197">
        <f>INDEX(tblMatières[Revenu brut],MATCH($B30,tblMatières[Matière],0))</f>
        <v>-6.0704036765635694</v>
      </c>
      <c r="G30" s="197">
        <f t="shared" si="12"/>
        <v>593.8744079494785</v>
      </c>
      <c r="H30" s="309">
        <f t="shared" si="13"/>
        <v>4232537.8235847596</v>
      </c>
      <c r="I30" s="634">
        <f t="shared" si="14"/>
        <v>6.0053301399624684E-2</v>
      </c>
      <c r="J30" s="309">
        <f t="shared" si="15"/>
        <v>3708797.0453269575</v>
      </c>
    </row>
    <row r="31" spans="1:10" x14ac:dyDescent="0.25">
      <c r="A31" s="38"/>
      <c r="B31" s="37" t="str">
        <f>INDEX(ListeMatières,18)</f>
        <v>Sacs d'emplettes de pellicules HDPE et LDPE</v>
      </c>
      <c r="C31" s="26">
        <f>INDEX(tblMatières[Quantité récupérée (tonnes)],MATCH($B31,tblMatières[Matière],0))</f>
        <v>1586.2200315921225</v>
      </c>
      <c r="D31" s="48">
        <f>INDEX(tblMatières[Quantité déclarée (tonnes)],MATCH($B31,tblMatières[Matière],0))</f>
        <v>10065.867</v>
      </c>
      <c r="E31" s="188">
        <f>INDEX(tblMatières[Coût brut],MATCH($B31,tblMatières[Matière],0))</f>
        <v>587.80400427291488</v>
      </c>
      <c r="F31" s="197">
        <f>INDEX(tblMatières[Revenu brut],MATCH($B31,tblMatières[Matière],0))</f>
        <v>-6.0704036765635694</v>
      </c>
      <c r="G31" s="197">
        <f t="shared" si="12"/>
        <v>593.8744079494785</v>
      </c>
      <c r="H31" s="309">
        <f t="shared" si="13"/>
        <v>942015.48213937483</v>
      </c>
      <c r="I31" s="634">
        <f t="shared" si="14"/>
        <v>1.3365772978282698E-2</v>
      </c>
      <c r="J31" s="309">
        <f t="shared" si="15"/>
        <v>825449.02902999369</v>
      </c>
    </row>
    <row r="32" spans="1:10" x14ac:dyDescent="0.25">
      <c r="A32" s="38"/>
      <c r="B32" s="37" t="str">
        <f>INDEX(ListeMatières,19)</f>
        <v>Polystyrène expansé alimentaire</v>
      </c>
      <c r="C32" s="26">
        <f>INDEX(tblMatières[Quantité récupérée (tonnes)],MATCH($B32,tblMatières[Matière],0))</f>
        <v>388.92322480010046</v>
      </c>
      <c r="D32" s="48">
        <f>INDEX(tblMatières[Quantité déclarée (tonnes)],MATCH($B32,tblMatières[Matière],0))</f>
        <v>3369.3789999999999</v>
      </c>
      <c r="E32" s="188">
        <f>INDEX(tblMatières[Coût brut],MATCH($B32,tblMatières[Matière],0))</f>
        <v>2107.1480041836717</v>
      </c>
      <c r="F32" s="197">
        <f>INDEX(tblMatières[Revenu brut],MATCH($B32,tblMatières[Matière],0))</f>
        <v>-27.388529188881876</v>
      </c>
      <c r="G32" s="197">
        <f t="shared" si="12"/>
        <v>2134.5365333725535</v>
      </c>
      <c r="H32" s="309">
        <f t="shared" si="13"/>
        <v>830170.83201288083</v>
      </c>
      <c r="I32" s="634">
        <f t="shared" si="14"/>
        <v>1.1778866785370466E-2</v>
      </c>
      <c r="J32" s="309">
        <f t="shared" si="15"/>
        <v>727444.20893994079</v>
      </c>
    </row>
    <row r="33" spans="1:10" x14ac:dyDescent="0.25">
      <c r="A33" s="259"/>
      <c r="B33" s="37" t="str">
        <f>INDEX(ListeMatières,20)</f>
        <v>Polystyrène expansé de protection</v>
      </c>
      <c r="C33" s="26">
        <f>INDEX(tblMatières[Quantité récupérée (tonnes)],MATCH($B33,tblMatières[Matière],0))</f>
        <v>407.00702106329919</v>
      </c>
      <c r="D33" s="48">
        <f>INDEX(tblMatières[Quantité déclarée (tonnes)],MATCH($B33,tblMatières[Matière],0))</f>
        <v>1085.0350000000001</v>
      </c>
      <c r="E33" s="188">
        <f>INDEX(tblMatières[Coût brut],MATCH($B33,tblMatières[Matière],0))</f>
        <v>2107.1480041836717</v>
      </c>
      <c r="F33" s="197">
        <f>INDEX(tblMatières[Revenu brut],MATCH($B33,tblMatières[Matière],0))</f>
        <v>-27.388529188881876</v>
      </c>
      <c r="G33" s="197">
        <f>E33-F33</f>
        <v>2134.5365333725535</v>
      </c>
      <c r="H33" s="309">
        <f t="shared" si="13"/>
        <v>868771.3557987446</v>
      </c>
      <c r="I33" s="634">
        <f t="shared" si="14"/>
        <v>1.2326549756135402E-2</v>
      </c>
      <c r="J33" s="309">
        <f t="shared" si="15"/>
        <v>761268.24419542111</v>
      </c>
    </row>
    <row r="34" spans="1:10" x14ac:dyDescent="0.25">
      <c r="A34" s="38"/>
      <c r="B34" s="37" t="str">
        <f>INDEX(ListeMatières,21)</f>
        <v>Polystyrène non expansé</v>
      </c>
      <c r="C34" s="26">
        <f>INDEX(tblMatières[Quantité récupérée (tonnes)],MATCH($B34,tblMatières[Matière],0))</f>
        <v>1053.7743325675031</v>
      </c>
      <c r="D34" s="48">
        <f>INDEX(tblMatières[Quantité déclarée (tonnes)],MATCH($B34,tblMatières[Matière],0))</f>
        <v>4235.3710000000001</v>
      </c>
      <c r="E34" s="188">
        <f>INDEX(tblMatières[Coût brut],MATCH($B34,tblMatières[Matière],0))</f>
        <v>421.65758123833888</v>
      </c>
      <c r="F34" s="197">
        <f>INDEX(tblMatières[Revenu brut],MATCH($B34,tblMatières[Matière],0))</f>
        <v>3.2881730068444437</v>
      </c>
      <c r="G34" s="197">
        <f t="shared" si="12"/>
        <v>418.36940823149445</v>
      </c>
      <c r="H34" s="309">
        <f t="shared" si="13"/>
        <v>440866.94392580428</v>
      </c>
      <c r="I34" s="634">
        <f t="shared" si="14"/>
        <v>6.2552342268932751E-3</v>
      </c>
      <c r="J34" s="309">
        <f t="shared" si="15"/>
        <v>386313.38623915892</v>
      </c>
    </row>
    <row r="35" spans="1:10" x14ac:dyDescent="0.25">
      <c r="A35" s="38"/>
      <c r="B35" s="37" t="str">
        <f>INDEX(ListeMatières,22)</f>
        <v>Contenants de PET</v>
      </c>
      <c r="C35" s="26">
        <f>INDEX(tblMatières[Quantité récupérée (tonnes)],MATCH($B35,tblMatières[Matière],0))</f>
        <v>5114.7294039183307</v>
      </c>
      <c r="D35" s="48">
        <f>INDEX(tblMatières[Quantité déclarée (tonnes)],MATCH($B35,tblMatières[Matière],0))</f>
        <v>8932.5040000000008</v>
      </c>
      <c r="E35" s="188">
        <f>INDEX(tblMatières[Coût brut],MATCH($B35,tblMatières[Matière],0))</f>
        <v>403.74260967105903</v>
      </c>
      <c r="F35" s="197">
        <f>INDEX(tblMatières[Revenu brut],MATCH($B35,tblMatières[Matière],0))</f>
        <v>34.09974362793097</v>
      </c>
      <c r="G35" s="197">
        <f t="shared" si="12"/>
        <v>369.64286604312804</v>
      </c>
      <c r="H35" s="309">
        <f t="shared" si="13"/>
        <v>1890623.2358994316</v>
      </c>
      <c r="I35" s="634">
        <f t="shared" si="14"/>
        <v>2.6825080306651771E-2</v>
      </c>
      <c r="J35" s="309">
        <f t="shared" si="15"/>
        <v>1656674.5917917215</v>
      </c>
    </row>
    <row r="36" spans="1:10" x14ac:dyDescent="0.25">
      <c r="A36" s="38"/>
      <c r="B36" s="37" t="str">
        <f>INDEX(ListeMatières,23)</f>
        <v>Acide polylactique (PLA) et autres plastiques dégradables</v>
      </c>
      <c r="C36" s="26">
        <f>INDEX(tblMatières[Quantité récupérée (tonnes)],MATCH($B36,tblMatières[Matière],0))</f>
        <v>191.54226000000003</v>
      </c>
      <c r="D36" s="48">
        <f>INDEX(tblMatières[Quantité déclarée (tonnes)],MATCH($B36,tblMatières[Matière],0))</f>
        <v>350.81</v>
      </c>
      <c r="E36" s="188">
        <f>INDEX(tblMatières[Coût brut],MATCH($B36,tblMatières[Matière],0))</f>
        <v>504.28305820922424</v>
      </c>
      <c r="F36" s="197">
        <f>INDEX(tblMatières[Revenu brut],MATCH($B36,tblMatières[Matière],0))</f>
        <v>225.12933377023276</v>
      </c>
      <c r="G36" s="197">
        <f t="shared" si="12"/>
        <v>279.1537244389915</v>
      </c>
      <c r="H36" s="309">
        <f t="shared" si="13"/>
        <v>53469.73526646167</v>
      </c>
      <c r="I36" s="634">
        <f t="shared" si="14"/>
        <v>7.5865456176724014E-4</v>
      </c>
      <c r="J36" s="309">
        <f t="shared" si="15"/>
        <v>46853.30750398583</v>
      </c>
    </row>
    <row r="37" spans="1:10" x14ac:dyDescent="0.25">
      <c r="A37" s="38"/>
      <c r="B37" s="37" t="str">
        <f>INDEX(ListeMatières,24)</f>
        <v>Autres plastiques, polymères et polyuréthane</v>
      </c>
      <c r="C37" s="26">
        <f>INDEX(tblMatières[Quantité récupérée (tonnes)],MATCH($B37,tblMatières[Matière],0))</f>
        <v>16276.301416999999</v>
      </c>
      <c r="D37" s="48">
        <f>INDEX(tblMatières[Quantité déclarée (tonnes)],MATCH($B37,tblMatières[Matière],0))</f>
        <v>37245.540999999997</v>
      </c>
      <c r="E37" s="189">
        <f>INDEX(tblMatières[Coût brut],MATCH($B37,tblMatières[Matière],0))</f>
        <v>387.48795659841801</v>
      </c>
      <c r="F37" s="197">
        <f>INDEX(tblMatières[Revenu brut],MATCH($B37,tblMatières[Matière],0))</f>
        <v>80.5</v>
      </c>
      <c r="G37" s="197">
        <f t="shared" si="12"/>
        <v>306.98795659841801</v>
      </c>
      <c r="H37" s="309">
        <f t="shared" si="13"/>
        <v>4996628.5129847648</v>
      </c>
      <c r="I37" s="634">
        <f t="shared" si="14"/>
        <v>7.08945910418569E-2</v>
      </c>
      <c r="J37" s="309">
        <f t="shared" si="15"/>
        <v>4378337.9707305338</v>
      </c>
    </row>
    <row r="38" spans="1:10" x14ac:dyDescent="0.25">
      <c r="A38" s="43" t="str">
        <f>'Facteur 1'!A38</f>
        <v>Plastique TOTAL</v>
      </c>
      <c r="B38" s="51"/>
      <c r="C38" s="24">
        <f t="shared" ref="C38:D38" si="16">SUBTOTAL(9,C27:C37)</f>
        <v>69568.851820988391</v>
      </c>
      <c r="D38" s="30">
        <f t="shared" si="16"/>
        <v>152989.08499999996</v>
      </c>
      <c r="E38" s="124"/>
      <c r="F38" s="123"/>
      <c r="G38" s="123"/>
      <c r="H38" s="314">
        <f t="shared" ref="H38:J38" si="17">SUBTOTAL(9,H27:H37)</f>
        <v>22061775.534362145</v>
      </c>
      <c r="I38" s="87">
        <f t="shared" si="17"/>
        <v>0.31302318155158337</v>
      </c>
      <c r="J38" s="298">
        <f t="shared" si="17"/>
        <v>19331817.298967212</v>
      </c>
    </row>
    <row r="39" spans="1:10" x14ac:dyDescent="0.25">
      <c r="A39" s="46" t="str">
        <f>'Facteur 1'!A39</f>
        <v>Aluminium</v>
      </c>
      <c r="B39" s="37" t="str">
        <f>INDEX(ListeMatières,25)</f>
        <v>Contenants pour aliments et breuvages en aluminium</v>
      </c>
      <c r="C39" s="26">
        <f>INDEX(tblMatières[Quantité récupérée (tonnes)],MATCH($B39,tblMatières[Matière],0))</f>
        <v>1946.6893408439882</v>
      </c>
      <c r="D39" s="48">
        <f>INDEX(tblMatières[Quantité déclarée (tonnes)],MATCH($B39,tblMatières[Matière],0))</f>
        <v>4037.5839999999998</v>
      </c>
      <c r="E39" s="188">
        <f>INDEX(tblMatières[Coût brut],MATCH($B39,tblMatières[Matière],0))</f>
        <v>487.37291073022038</v>
      </c>
      <c r="F39" s="197">
        <f>INDEX(tblMatières[Revenu brut],MATCH($B39,tblMatières[Matière],0))</f>
        <v>619.94436211496202</v>
      </c>
      <c r="G39" s="197">
        <f>E39-F39</f>
        <v>-132.57145138474164</v>
      </c>
      <c r="H39" s="309">
        <f>G39*C39</f>
        <v>-258075.43131089353</v>
      </c>
      <c r="I39" s="473">
        <f>$H39/$H$49</f>
        <v>-3.6616995066153747E-3</v>
      </c>
      <c r="J39" s="309">
        <f>I39*$J$55</f>
        <v>-226140.77818368125</v>
      </c>
    </row>
    <row r="40" spans="1:10" x14ac:dyDescent="0.25">
      <c r="A40" s="46"/>
      <c r="B40" s="37" t="str">
        <f>INDEX(ListeMatières,26)</f>
        <v>Autres contenants et emballages en aluminium</v>
      </c>
      <c r="C40" s="26">
        <f>INDEX(tblMatières[Quantité récupérée (tonnes)],MATCH($B40,tblMatières[Matière],0))</f>
        <v>397.62020471495117</v>
      </c>
      <c r="D40" s="48">
        <f>INDEX(tblMatières[Quantité déclarée (tonnes)],MATCH($B40,tblMatières[Matière],0))</f>
        <v>3963.2570000000001</v>
      </c>
      <c r="E40" s="188">
        <f>INDEX(tblMatières[Coût brut],MATCH($B40,tblMatières[Matière],0))</f>
        <v>438.10204187717375</v>
      </c>
      <c r="F40" s="197">
        <f>INDEX(tblMatières[Revenu brut],MATCH($B40,tblMatières[Matière],0))</f>
        <v>416.27482029640657</v>
      </c>
      <c r="G40" s="197">
        <f>E40-F40</f>
        <v>21.827221580767173</v>
      </c>
      <c r="H40" s="309">
        <f>G40*C40</f>
        <v>8678.9443133032437</v>
      </c>
      <c r="I40" s="473">
        <f>$H40/$H$49</f>
        <v>1.2314107526059323E-4</v>
      </c>
      <c r="J40" s="309">
        <f>I40*$J$55</f>
        <v>7604.9983171737322</v>
      </c>
    </row>
    <row r="41" spans="1:10" x14ac:dyDescent="0.25">
      <c r="A41" s="43" t="str">
        <f>'Facteur 1'!A41</f>
        <v>Aluminium TOTAL</v>
      </c>
      <c r="B41" s="51"/>
      <c r="C41" s="22">
        <f t="shared" ref="C41:D41" si="18">SUBTOTAL(9,C39:C40)</f>
        <v>2344.3095455589396</v>
      </c>
      <c r="D41" s="29">
        <f t="shared" si="18"/>
        <v>8000.8410000000003</v>
      </c>
      <c r="E41" s="195"/>
      <c r="F41" s="203"/>
      <c r="G41" s="203"/>
      <c r="H41" s="315">
        <f t="shared" ref="H41:J41" si="19">SUBTOTAL(9,H39:H40)</f>
        <v>-249396.48699759028</v>
      </c>
      <c r="I41" s="475">
        <f t="shared" si="19"/>
        <v>-3.5385584313547816E-3</v>
      </c>
      <c r="J41" s="298">
        <f t="shared" si="19"/>
        <v>-218535.77986650751</v>
      </c>
    </row>
    <row r="42" spans="1:10" x14ac:dyDescent="0.25">
      <c r="A42" s="46" t="str">
        <f>'Facteur 1'!A42</f>
        <v>Acier</v>
      </c>
      <c r="B42" s="37" t="str">
        <f>INDEX(ListeMatières,27)</f>
        <v>Bombes aérosol en acier</v>
      </c>
      <c r="C42" s="26">
        <f>INDEX(tblMatières[Quantité récupérée (tonnes)],MATCH($B42,tblMatières[Matière],0))</f>
        <v>305.33105390000003</v>
      </c>
      <c r="D42" s="48">
        <f>INDEX(tblMatières[Quantité déclarée (tonnes)],MATCH($B42,tblMatières[Matière],0))</f>
        <v>1741.7629999999999</v>
      </c>
      <c r="E42" s="187">
        <f>INDEX(tblMatières[Coût brut],MATCH($B42,tblMatières[Matière],0))</f>
        <v>247.73301928789681</v>
      </c>
      <c r="F42" s="197">
        <f>INDEX(tblMatières[Revenu brut],MATCH($B42,tblMatières[Matière],0))</f>
        <v>220.4214274716486</v>
      </c>
      <c r="G42" s="197">
        <f>E42-F42</f>
        <v>27.31159181624821</v>
      </c>
      <c r="H42" s="309">
        <f>G42*C42</f>
        <v>8339.0771129416826</v>
      </c>
      <c r="I42" s="473">
        <f>$H42/$H$49</f>
        <v>1.1831887442745974E-4</v>
      </c>
      <c r="J42" s="309">
        <f>I42*$J$55</f>
        <v>7307.1868099780522</v>
      </c>
    </row>
    <row r="43" spans="1:10" x14ac:dyDescent="0.25">
      <c r="A43" s="46"/>
      <c r="B43" s="37" t="str">
        <f>INDEX(ListeMatières,28)</f>
        <v>Autres contenants en acier</v>
      </c>
      <c r="C43" s="26">
        <f>INDEX(tblMatières[Quantité récupérée (tonnes)],MATCH($B43,tblMatières[Matière],0))</f>
        <v>16476.642154247114</v>
      </c>
      <c r="D43" s="48">
        <f>INDEX(tblMatières[Quantité déclarée (tonnes)],MATCH($B43,tblMatières[Matière],0))</f>
        <v>25404.03</v>
      </c>
      <c r="E43" s="188">
        <f>INDEX(tblMatières[Coût brut],MATCH($B43,tblMatières[Matière],0))</f>
        <v>267.14340795673553</v>
      </c>
      <c r="F43" s="197">
        <f>INDEX(tblMatières[Revenu brut],MATCH($B43,tblMatières[Matière],0))</f>
        <v>193.72461469381176</v>
      </c>
      <c r="G43" s="197">
        <f>E43-F43</f>
        <v>73.418793262923771</v>
      </c>
      <c r="H43" s="309">
        <f>G43*C43</f>
        <v>1209695.1839898438</v>
      </c>
      <c r="I43" s="473">
        <f>$H43/$H$49</f>
        <v>1.7163742537872617E-2</v>
      </c>
      <c r="J43" s="309">
        <f>I43*$J$55</f>
        <v>1060005.6304583517</v>
      </c>
    </row>
    <row r="44" spans="1:10" x14ac:dyDescent="0.25">
      <c r="A44" s="43" t="str">
        <f>'Facteur 1'!A44</f>
        <v>Acier TOTAL</v>
      </c>
      <c r="B44" s="51"/>
      <c r="C44" s="22">
        <f t="shared" ref="C44:D44" si="20">SUBTOTAL(9,C42:C43)</f>
        <v>16781.973208147116</v>
      </c>
      <c r="D44" s="29">
        <f t="shared" si="20"/>
        <v>27145.792999999998</v>
      </c>
      <c r="E44" s="193"/>
      <c r="F44" s="202"/>
      <c r="G44" s="202"/>
      <c r="H44" s="314">
        <f t="shared" ref="H44:J44" si="21">SUBTOTAL(9,H42:H43)</f>
        <v>1218034.2611027856</v>
      </c>
      <c r="I44" s="87">
        <f t="shared" si="21"/>
        <v>1.7282061412300077E-2</v>
      </c>
      <c r="J44" s="298">
        <f t="shared" si="21"/>
        <v>1067312.8172683297</v>
      </c>
    </row>
    <row r="45" spans="1:10" x14ac:dyDescent="0.25">
      <c r="A45" s="46" t="str">
        <f>'Facteur 1'!A45</f>
        <v>Verre</v>
      </c>
      <c r="B45" s="37" t="str">
        <f>INDEX(ListeMatières,29)</f>
        <v>Verre clair</v>
      </c>
      <c r="C45" s="26">
        <f>INDEX(tblMatières[Quantité récupérée (tonnes)],MATCH($B45,tblMatières[Matière],0))</f>
        <v>51115.154889588826</v>
      </c>
      <c r="D45" s="48">
        <f>INDEX(tblMatières[Quantité déclarée (tonnes)],MATCH($B45,tblMatières[Matière],0))</f>
        <v>64834.576999999997</v>
      </c>
      <c r="E45" s="187">
        <f>INDEX(tblMatières[Coût brut],MATCH($B45,tblMatières[Matière],0))</f>
        <v>177.24199976861934</v>
      </c>
      <c r="F45" s="197">
        <f>INDEX(tblMatières[Revenu brut],MATCH($B45,tblMatières[Matière],0))</f>
        <v>-25.679460854742036</v>
      </c>
      <c r="G45" s="197">
        <f>E45-F45</f>
        <v>202.92146062336138</v>
      </c>
      <c r="H45" s="309">
        <f>G45*C45</f>
        <v>10372361.890184717</v>
      </c>
      <c r="I45" s="473">
        <f>$H45/$H$49</f>
        <v>0.1471681059402043</v>
      </c>
      <c r="J45" s="636">
        <f>I45*$J$55</f>
        <v>9088869.7832823154</v>
      </c>
    </row>
    <row r="46" spans="1:10" x14ac:dyDescent="0.25">
      <c r="A46" s="46"/>
      <c r="B46" s="37" t="str">
        <f>INDEX(ListeMatières,30)</f>
        <v>Verre coloré</v>
      </c>
      <c r="C46" s="26">
        <f>INDEX(tblMatières[Quantité récupérée (tonnes)],MATCH($B46,tblMatières[Matière],0))</f>
        <v>67089.615000498467</v>
      </c>
      <c r="D46" s="48">
        <f>INDEX(tblMatières[Quantité déclarée (tonnes)],MATCH($B46,tblMatières[Matière],0))</f>
        <v>85096.618000000002</v>
      </c>
      <c r="E46" s="188">
        <f>INDEX(tblMatières[Coût brut],MATCH($B46,tblMatières[Matière],0))</f>
        <v>177.82919091545182</v>
      </c>
      <c r="F46" s="197">
        <f>INDEX(tblMatières[Revenu brut],MATCH($B46,tblMatières[Matière],0))</f>
        <v>-26.749130807779906</v>
      </c>
      <c r="G46" s="197">
        <f>E46-F46</f>
        <v>204.57832172323174</v>
      </c>
      <c r="H46" s="309">
        <f>G46*C46</f>
        <v>13725080.84185973</v>
      </c>
      <c r="I46" s="473">
        <f>$H46/$H$49</f>
        <v>0.19473811006190314</v>
      </c>
      <c r="J46" s="636">
        <f>I46*$J$55</f>
        <v>12026718.105037536</v>
      </c>
    </row>
    <row r="47" spans="1:10" x14ac:dyDescent="0.25">
      <c r="A47" s="46"/>
      <c r="B47" s="239" t="str">
        <f>INDEX(ListeMatières,31)</f>
        <v>Céramique</v>
      </c>
      <c r="C47" s="26">
        <f>INDEX(tblMatières[Quantité récupérée (tonnes)],MATCH($B47,tblMatières[Matière],0))</f>
        <v>166.78800000000001</v>
      </c>
      <c r="D47" s="48">
        <f>INDEX(tblMatières[Quantité déclarée (tonnes)],MATCH($B47,tblMatières[Matière],0))</f>
        <v>678</v>
      </c>
      <c r="E47" s="188">
        <f>INDEX(tblMatières[Coût brut],MATCH($B47,tblMatières[Matière],0))</f>
        <v>184.98</v>
      </c>
      <c r="F47" s="197">
        <f>INDEX(tblMatières[Revenu brut],MATCH($B47,tblMatières[Matière],0))</f>
        <v>-57.51</v>
      </c>
      <c r="G47" s="197">
        <f>E47-F47</f>
        <v>242.48999999999998</v>
      </c>
      <c r="H47" s="309">
        <f>G47*C47</f>
        <v>40444.422120000003</v>
      </c>
      <c r="I47" s="473">
        <f>$H47/$H$49</f>
        <v>5.7384509548196101E-4</v>
      </c>
      <c r="J47" s="652">
        <f>I47*$J$55</f>
        <v>35439.766757138917</v>
      </c>
    </row>
    <row r="48" spans="1:10" x14ac:dyDescent="0.25">
      <c r="A48" s="43" t="str">
        <f>'Facteur 1'!A48</f>
        <v>Verre TOTAL</v>
      </c>
      <c r="B48" s="51"/>
      <c r="C48" s="22">
        <f>SUBTOTAL(9,C45:C47)</f>
        <v>118371.55789008729</v>
      </c>
      <c r="D48" s="29">
        <f>SUBTOTAL(9,D45:D47)</f>
        <v>150609.19500000001</v>
      </c>
      <c r="E48" s="194"/>
      <c r="F48" s="202"/>
      <c r="G48" s="202"/>
      <c r="H48" s="314">
        <f>SUBTOTAL(9,H45:H47)</f>
        <v>24137887.154164448</v>
      </c>
      <c r="I48" s="87">
        <f>SUBTOTAL(9,I45:I47)</f>
        <v>0.34248006109758944</v>
      </c>
      <c r="J48" s="298">
        <f>SUBTOTAL(9,J45:J47)</f>
        <v>21151027.655076988</v>
      </c>
    </row>
    <row r="49" spans="1:10" ht="15.75" thickBot="1" x14ac:dyDescent="0.3">
      <c r="A49" s="56" t="str">
        <f>'Facteur 1'!A49</f>
        <v>CONTENANTS ET EMBALLAGES TOTAL</v>
      </c>
      <c r="B49" s="52"/>
      <c r="C49" s="27">
        <f>SUBTOTAL(9,C19:C48)</f>
        <v>326746.38656966464</v>
      </c>
      <c r="D49" s="145">
        <f>SUBTOTAL(9,D19:D48)</f>
        <v>524256.67600000004</v>
      </c>
      <c r="E49" s="119"/>
      <c r="F49" s="120"/>
      <c r="G49" s="120"/>
      <c r="H49" s="297">
        <f>SUBTOTAL(9,H19:H48)</f>
        <v>70479685.96129857</v>
      </c>
      <c r="I49" s="446">
        <f>SUBTOTAL(9,I19:I48)</f>
        <v>1</v>
      </c>
      <c r="J49" s="297">
        <f>SUBTOTAL(9,J19:J48)</f>
        <v>61758420.584519871</v>
      </c>
    </row>
    <row r="50" spans="1:10" x14ac:dyDescent="0.25">
      <c r="A50" s="38"/>
      <c r="B50" s="39"/>
      <c r="C50" s="35"/>
      <c r="D50" s="39"/>
      <c r="E50" s="125"/>
      <c r="F50" s="126"/>
      <c r="G50" s="126"/>
      <c r="H50" s="295"/>
      <c r="I50" s="64"/>
      <c r="J50" s="295"/>
    </row>
    <row r="51" spans="1:10" ht="15.75" thickBot="1" x14ac:dyDescent="0.3">
      <c r="A51" s="57" t="str">
        <f>'Facteur 1'!A51</f>
        <v>TOTAL</v>
      </c>
      <c r="B51" s="53"/>
      <c r="C51" s="25">
        <f t="shared" ref="C51:D51" si="22">SUBTOTAL(9,C10:C49)</f>
        <v>404394.7324863039</v>
      </c>
      <c r="D51" s="31">
        <f t="shared" si="22"/>
        <v>622392.90399999998</v>
      </c>
      <c r="E51" s="127"/>
      <c r="F51" s="128"/>
      <c r="G51" s="128"/>
      <c r="H51" s="301">
        <f>SUBTOTAL(9,H10:H49)</f>
        <v>81625318.035970047</v>
      </c>
      <c r="I51" s="85"/>
      <c r="J51" s="301">
        <f>SUBTOTAL(9,J10:J49)</f>
        <v>79318850.613360032</v>
      </c>
    </row>
    <row r="52" spans="1:10" ht="15.75" thickTop="1" x14ac:dyDescent="0.25">
      <c r="A52" s="38"/>
      <c r="B52" s="35"/>
      <c r="E52" s="114"/>
      <c r="F52" s="114"/>
      <c r="G52" s="114"/>
      <c r="H52" s="114"/>
      <c r="I52" s="37"/>
      <c r="J52" s="303"/>
    </row>
    <row r="53" spans="1:10" x14ac:dyDescent="0.25">
      <c r="A53" s="42" t="str">
        <f>'Facteur 1'!A53</f>
        <v>Allocation des coûts du facteur par catégorie</v>
      </c>
      <c r="B53" s="95"/>
      <c r="C53" s="94"/>
      <c r="D53" s="94"/>
      <c r="E53" s="116"/>
      <c r="F53" s="116"/>
      <c r="G53" s="116"/>
      <c r="H53" s="116"/>
      <c r="I53" s="94"/>
      <c r="J53" s="304"/>
    </row>
    <row r="54" spans="1:10" x14ac:dyDescent="0.25">
      <c r="A54" s="98" t="str">
        <f>'Facteur 1'!A54</f>
        <v>Imprimés</v>
      </c>
      <c r="B54" s="96"/>
      <c r="C54" s="93"/>
      <c r="D54" s="93"/>
      <c r="E54" s="117"/>
      <c r="F54" s="117"/>
      <c r="G54" s="117"/>
      <c r="H54" s="117"/>
      <c r="I54" s="93"/>
      <c r="J54" s="305">
        <f>'Coûts nets'!$G51*$E$8</f>
        <v>17560430.028840132</v>
      </c>
    </row>
    <row r="55" spans="1:10" x14ac:dyDescent="0.25">
      <c r="A55" s="99" t="str">
        <f>'Facteur 1'!A55</f>
        <v>Contenants et emballages</v>
      </c>
      <c r="B55" s="49"/>
      <c r="C55" s="54"/>
      <c r="D55" s="54"/>
      <c r="E55" s="118"/>
      <c r="F55" s="118"/>
      <c r="G55" s="118"/>
      <c r="H55" s="118"/>
      <c r="I55" s="54"/>
      <c r="J55" s="118">
        <f>'Coûts nets'!$G52*$E$8</f>
        <v>61758420.584519878</v>
      </c>
    </row>
  </sheetData>
  <sheetProtection algorithmName="SHA-512" hashValue="pAHd2ghyLlXVtyqkGmMb2ytXHTv7dsmLV6Nep31lOrf1q1PsZCfqygXng3RHYVYU4rX1HalbgXOu4zzXPWpreg==" saltValue="PIijw1YuQ6h4L21wjYmpRA==" spinCount="100000" sheet="1" objects="1" scenarios="1" selectLockedCells="1"/>
  <mergeCells count="2">
    <mergeCell ref="C6:D6"/>
    <mergeCell ref="E6:J6"/>
  </mergeCells>
  <pageMargins left="0.7" right="0.7" top="0.75" bottom="0.75" header="0.3" footer="0.3"/>
  <pageSetup scale="44" fitToHeight="0" orientation="landscape" r:id="rId1"/>
  <ignoredErrors>
    <ignoredError sqref="C34:C37 C27:C32 E26:G26 C39:C40 E38:G38 C42:C43 E41:G41 C45 E44:G44 D34:J37 D27:J32 D39:J40 D42:J43 D45:J45" 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5">
    <tabColor rgb="FFFFC000"/>
    <pageSetUpPr fitToPage="1"/>
  </sheetPr>
  <dimension ref="A1:L55"/>
  <sheetViews>
    <sheetView showGridLines="0" zoomScale="80" zoomScaleNormal="80" zoomScaleSheetLayoutView="55" workbookViewId="0">
      <pane xSplit="2" ySplit="9" topLeftCell="C10" activePane="bottomRight" state="frozen"/>
      <selection pane="topRight" activeCell="C1" sqref="C1"/>
      <selection pane="bottomLeft" activeCell="A10" sqref="A10"/>
      <selection pane="bottomRight" activeCell="L49" sqref="L49"/>
    </sheetView>
  </sheetViews>
  <sheetFormatPr baseColWidth="10" defaultColWidth="9.140625" defaultRowHeight="15" x14ac:dyDescent="0.25"/>
  <cols>
    <col min="1" max="1" width="25.42578125" customWidth="1"/>
    <col min="2" max="2" width="59.140625" bestFit="1" customWidth="1"/>
    <col min="3" max="3" width="16.140625" customWidth="1"/>
    <col min="4" max="4" width="17" customWidth="1"/>
    <col min="5" max="5" width="15.85546875" customWidth="1"/>
    <col min="6" max="6" width="17.42578125" customWidth="1"/>
    <col min="7" max="7" width="14" bestFit="1" customWidth="1"/>
    <col min="8" max="8" width="21" bestFit="1" customWidth="1"/>
    <col min="9" max="9" width="18.5703125" bestFit="1" customWidth="1"/>
    <col min="10" max="10" width="19.5703125" bestFit="1" customWidth="1"/>
    <col min="11" max="11" width="15.7109375" bestFit="1" customWidth="1"/>
    <col min="12" max="12" width="17.85546875" bestFit="1" customWidth="1"/>
  </cols>
  <sheetData>
    <row r="1" spans="1:12" s="156" customFormat="1" ht="15.75" thickBot="1" x14ac:dyDescent="0.3">
      <c r="A1" s="4" t="s">
        <v>58</v>
      </c>
      <c r="B1" s="36"/>
    </row>
    <row r="2" spans="1:12" ht="7.5" customHeight="1" thickBot="1" x14ac:dyDescent="0.3">
      <c r="A2" s="35"/>
      <c r="B2" s="35"/>
    </row>
    <row r="3" spans="1:12" ht="18.75" thickBot="1" x14ac:dyDescent="0.3">
      <c r="A3" s="91" t="str">
        <f>Paramètres!B4</f>
        <v>Tarif</v>
      </c>
      <c r="B3" s="242">
        <f>AnnéeTarif</f>
        <v>2021</v>
      </c>
    </row>
    <row r="4" spans="1:12" ht="18.75" thickBot="1" x14ac:dyDescent="0.3">
      <c r="A4" s="91" t="str">
        <f>Paramètres!B5</f>
        <v>Scénario</v>
      </c>
      <c r="B4" s="242" t="str">
        <f>Paramètres!C5</f>
        <v xml:space="preserve">Projet de tarif </v>
      </c>
    </row>
    <row r="5" spans="1:12" ht="18.75" thickBot="1" x14ac:dyDescent="0.3">
      <c r="A5" s="91" t="str">
        <f>Paramètres!B6</f>
        <v>Année de référence</v>
      </c>
      <c r="B5" s="92">
        <f>AnnéeRéf</f>
        <v>2020</v>
      </c>
    </row>
    <row r="6" spans="1:12" ht="15.75" customHeight="1" x14ac:dyDescent="0.25">
      <c r="A6" s="102"/>
      <c r="B6" s="171"/>
      <c r="C6" s="667"/>
      <c r="D6" s="668"/>
      <c r="E6" s="668"/>
      <c r="F6" s="669"/>
      <c r="G6" s="656" t="s">
        <v>58</v>
      </c>
      <c r="H6" s="657"/>
      <c r="I6" s="657"/>
      <c r="J6" s="657"/>
      <c r="K6" s="657"/>
      <c r="L6" s="657"/>
    </row>
    <row r="7" spans="1:12" ht="50.25" customHeight="1" thickBot="1" x14ac:dyDescent="0.3">
      <c r="A7" s="42" t="str">
        <f>'Sommaire exécutif'!A7</f>
        <v>CATÉGORIE</v>
      </c>
      <c r="B7" s="18" t="str">
        <f>'Sommaire exécutif'!B7</f>
        <v>Matière</v>
      </c>
      <c r="C7" s="44" t="str">
        <f>'Facteur 1'!C7</f>
        <v xml:space="preserve">Quantité générée
(tonnes) </v>
      </c>
      <c r="D7" s="44" t="str">
        <f>'Facteur 1'!D7</f>
        <v xml:space="preserve">Quantité récupérée
(tonnes) </v>
      </c>
      <c r="E7" s="44" t="str">
        <f>'Facteur 1'!E7</f>
        <v xml:space="preserve">Quantité éliminée
(tonnes) </v>
      </c>
      <c r="F7" s="47" t="str">
        <f>'Facteur 1'!F7</f>
        <v>Quantité déclarée 
(tonnes)</v>
      </c>
      <c r="G7" s="74" t="s">
        <v>85</v>
      </c>
      <c r="H7" s="167" t="s">
        <v>86</v>
      </c>
      <c r="I7" s="167" t="s">
        <v>112</v>
      </c>
      <c r="J7" s="167" t="s">
        <v>87</v>
      </c>
      <c r="K7" s="167" t="str">
        <f>'Facteur 1'!$G$7</f>
        <v>Proportion par catégorie
(%)</v>
      </c>
      <c r="L7" s="167" t="s">
        <v>88</v>
      </c>
    </row>
    <row r="8" spans="1:12" ht="15.75" thickBot="1" x14ac:dyDescent="0.3">
      <c r="A8" s="97"/>
      <c r="B8" s="168" t="s">
        <v>69</v>
      </c>
      <c r="C8" s="71"/>
      <c r="D8" s="71"/>
      <c r="E8" s="71"/>
      <c r="F8" s="72"/>
      <c r="G8" s="169">
        <v>0.2</v>
      </c>
      <c r="H8" s="170"/>
      <c r="I8" s="170"/>
      <c r="J8" s="170"/>
      <c r="K8" s="170"/>
      <c r="L8" s="170"/>
    </row>
    <row r="9" spans="1:12" x14ac:dyDescent="0.25">
      <c r="A9" s="43" t="str">
        <f>'Sommaire exécutif'!A8</f>
        <v>IMPRIMÉS</v>
      </c>
      <c r="B9" s="45"/>
      <c r="C9" s="101"/>
      <c r="D9" s="78"/>
      <c r="E9" s="78"/>
      <c r="F9" s="100"/>
      <c r="G9" s="129"/>
      <c r="H9" s="82"/>
      <c r="I9" s="130"/>
      <c r="J9" s="130"/>
      <c r="K9" s="78"/>
      <c r="L9" s="135"/>
    </row>
    <row r="10" spans="1:12" x14ac:dyDescent="0.25">
      <c r="A10" s="38"/>
      <c r="B10" s="37" t="str">
        <f>INDEX(ListeMatières,1)</f>
        <v>Encarts et circulaires imprimés sur du papier journal</v>
      </c>
      <c r="C10" s="58">
        <f>INDEX(tblMatières[Quantité générée (tonnes)],MATCH($B10,tblMatières[Matière],0))</f>
        <v>65368.142999999996</v>
      </c>
      <c r="D10" s="26">
        <f>INDEX(tblMatières[Quantité récupérée (tonnes)],MATCH($B10,tblMatières[Matière],0))</f>
        <v>55656.984739085055</v>
      </c>
      <c r="E10" s="26">
        <f t="shared" ref="E10:E15" si="0">C10-D10</f>
        <v>9711.1582609149409</v>
      </c>
      <c r="F10" s="48">
        <f>INDEX(tblMatières[Quantité déclarée (tonnes)],MATCH($B10,tblMatières[Matière],0))</f>
        <v>65368.142999999996</v>
      </c>
      <c r="G10" s="205">
        <f t="shared" ref="G10:G15" si="1">ObjectifRecup*C10</f>
        <v>65368.142999999996</v>
      </c>
      <c r="H10" s="212">
        <f t="shared" ref="H10:H15" si="2">G10-D10</f>
        <v>9711.1582609149409</v>
      </c>
      <c r="I10" s="218">
        <f>INDEX(tblMatières[Coût net ACA],MATCH($B10,tblMatières[Matière],0))</f>
        <v>143.44813883057876</v>
      </c>
      <c r="J10" s="316">
        <f t="shared" ref="J10:J15" si="3">MAX(0,I10*H10)</f>
        <v>1393047.5784174481</v>
      </c>
      <c r="K10" s="77">
        <f t="shared" ref="K10:K15" si="4">$J10/$J$16</f>
        <v>0.47261619684115919</v>
      </c>
      <c r="L10" s="316">
        <f t="shared" ref="L10:L15" si="5">K10*$L$54</f>
        <v>4149671.8275628551</v>
      </c>
    </row>
    <row r="11" spans="1:12" x14ac:dyDescent="0.25">
      <c r="A11" s="38"/>
      <c r="B11" s="37" t="str">
        <f>INDEX(ListeMatières,2)</f>
        <v>Catalogues et publications</v>
      </c>
      <c r="C11" s="58">
        <f>INDEX(tblMatières[Quantité générée (tonnes)],MATCH($B11,tblMatières[Matière],0))</f>
        <v>5387.2479999999996</v>
      </c>
      <c r="D11" s="26">
        <f>INDEX(tblMatières[Quantité récupérée (tonnes)],MATCH($B11,tblMatières[Matière],0))</f>
        <v>4441.1866763444323</v>
      </c>
      <c r="E11" s="26">
        <f t="shared" si="0"/>
        <v>946.06132365556732</v>
      </c>
      <c r="F11" s="48">
        <f>INDEX(tblMatières[Quantité déclarée (tonnes)],MATCH($B11,tblMatières[Matière],0))</f>
        <v>5387.2479999999996</v>
      </c>
      <c r="G11" s="206">
        <f t="shared" si="1"/>
        <v>5387.2479999999996</v>
      </c>
      <c r="H11" s="213">
        <f t="shared" si="2"/>
        <v>946.06132365556732</v>
      </c>
      <c r="I11" s="219">
        <f>INDEX(tblMatières[Coût net ACA],MATCH($B11,tblMatières[Matière],0))</f>
        <v>144.6965698786868</v>
      </c>
      <c r="J11" s="317">
        <f t="shared" si="3"/>
        <v>136891.82842785073</v>
      </c>
      <c r="K11" s="76">
        <f t="shared" si="4"/>
        <v>4.6442990413652449E-2</v>
      </c>
      <c r="L11" s="318">
        <f t="shared" si="5"/>
        <v>407779.44174451841</v>
      </c>
    </row>
    <row r="12" spans="1:12" x14ac:dyDescent="0.25">
      <c r="A12" s="38"/>
      <c r="B12" s="37" t="str">
        <f>INDEX(ListeMatières,3)</f>
        <v>Magazines</v>
      </c>
      <c r="C12" s="58">
        <f>INDEX(tblMatières[Quantité générée (tonnes)],MATCH($B12,tblMatières[Matière],0))</f>
        <v>3004.6579999999999</v>
      </c>
      <c r="D12" s="26">
        <f>INDEX(tblMatières[Quantité récupérée (tonnes)],MATCH($B12,tblMatières[Matière],0))</f>
        <v>2573.084473947371</v>
      </c>
      <c r="E12" s="26">
        <f t="shared" si="0"/>
        <v>431.57352605262895</v>
      </c>
      <c r="F12" s="48">
        <f>INDEX(tblMatières[Quantité déclarée (tonnes)],MATCH($B12,tblMatières[Matière],0))</f>
        <v>3004.6579999999999</v>
      </c>
      <c r="G12" s="206">
        <f t="shared" si="1"/>
        <v>3004.6579999999999</v>
      </c>
      <c r="H12" s="213">
        <f t="shared" si="2"/>
        <v>431.57352605262895</v>
      </c>
      <c r="I12" s="220">
        <f>INDEX(tblMatières[Coût net ACA],MATCH($B12,tblMatières[Matière],0))</f>
        <v>139.455993113256</v>
      </c>
      <c r="J12" s="318">
        <f t="shared" si="3"/>
        <v>60185.514677059029</v>
      </c>
      <c r="K12" s="76">
        <f t="shared" si="4"/>
        <v>2.04190075718114E-2</v>
      </c>
      <c r="L12" s="318">
        <f t="shared" si="5"/>
        <v>179283.27686157546</v>
      </c>
    </row>
    <row r="13" spans="1:12" x14ac:dyDescent="0.25">
      <c r="A13" s="38"/>
      <c r="B13" s="37" t="str">
        <f>INDEX(ListeMatières,4)</f>
        <v>Annuaires téléphoniques</v>
      </c>
      <c r="C13" s="58">
        <f>INDEX(tblMatières[Quantité générée (tonnes)],MATCH($B13,tblMatières[Matière],0))</f>
        <v>320.28500000000003</v>
      </c>
      <c r="D13" s="26">
        <f>INDEX(tblMatières[Quantité récupérée (tonnes)],MATCH($B13,tblMatières[Matière],0))</f>
        <v>261.22380655183559</v>
      </c>
      <c r="E13" s="26">
        <f t="shared" si="0"/>
        <v>59.061193448164431</v>
      </c>
      <c r="F13" s="48">
        <f>INDEX(tblMatières[Quantité déclarée (tonnes)],MATCH($B13,tblMatières[Matière],0))</f>
        <v>320.28500000000003</v>
      </c>
      <c r="G13" s="206">
        <f t="shared" si="1"/>
        <v>320.28500000000003</v>
      </c>
      <c r="H13" s="213">
        <f t="shared" si="2"/>
        <v>59.061193448164431</v>
      </c>
      <c r="I13" s="220">
        <f>INDEX(tblMatières[Coût net ACA],MATCH($B13,tblMatières[Matière],0))</f>
        <v>144.72652379883453</v>
      </c>
      <c r="J13" s="318">
        <f t="shared" si="3"/>
        <v>8547.7212191633407</v>
      </c>
      <c r="K13" s="76">
        <f t="shared" si="4"/>
        <v>2.8999666320433954E-3</v>
      </c>
      <c r="L13" s="318">
        <f t="shared" si="5"/>
        <v>25462.330563984611</v>
      </c>
    </row>
    <row r="14" spans="1:12" x14ac:dyDescent="0.25">
      <c r="A14" s="38"/>
      <c r="B14" s="37" t="str">
        <f>INDEX(ListeMatières,5)</f>
        <v>Papier à usage général</v>
      </c>
      <c r="C14" s="58">
        <f>INDEX(tblMatières[Quantité générée (tonnes)],MATCH($B14,tblMatières[Matière],0))</f>
        <v>5107.7979999999998</v>
      </c>
      <c r="D14" s="26">
        <f>INDEX(tblMatières[Quantité récupérée (tonnes)],MATCH($B14,tblMatières[Matière],0))</f>
        <v>2901.4502265425795</v>
      </c>
      <c r="E14" s="26">
        <f t="shared" si="0"/>
        <v>2206.3477734574203</v>
      </c>
      <c r="F14" s="48">
        <f>INDEX(tblMatières[Quantité déclarée (tonnes)],MATCH($B14,tblMatières[Matière],0))</f>
        <v>5107.7979999999998</v>
      </c>
      <c r="G14" s="206">
        <f t="shared" si="1"/>
        <v>5107.7979999999998</v>
      </c>
      <c r="H14" s="213">
        <f t="shared" si="2"/>
        <v>2206.3477734574203</v>
      </c>
      <c r="I14" s="220">
        <f>INDEX(tblMatières[Coût net ACA],MATCH($B14,tblMatières[Matière],0))</f>
        <v>148.04485421155144</v>
      </c>
      <c r="J14" s="318">
        <f t="shared" si="3"/>
        <v>326638.4344614849</v>
      </c>
      <c r="K14" s="76">
        <f t="shared" si="4"/>
        <v>0.11081790530996243</v>
      </c>
      <c r="L14" s="318">
        <f t="shared" si="5"/>
        <v>973005.0360691133</v>
      </c>
    </row>
    <row r="15" spans="1:12" x14ac:dyDescent="0.25">
      <c r="A15" s="38"/>
      <c r="B15" s="37" t="str">
        <f>INDEX(ListeMatières,6)</f>
        <v>Autres imprimés</v>
      </c>
      <c r="C15" s="58">
        <f>INDEX(tblMatières[Quantité générée (tonnes)],MATCH($B15,tblMatières[Matière],0))</f>
        <v>18948.096000000001</v>
      </c>
      <c r="D15" s="26">
        <f>INDEX(tblMatières[Quantité récupérée (tonnes)],MATCH($B15,tblMatières[Matière],0))</f>
        <v>11814.415994167999</v>
      </c>
      <c r="E15" s="26">
        <f t="shared" si="0"/>
        <v>7133.6800058320023</v>
      </c>
      <c r="F15" s="48">
        <f>INDEX(tblMatières[Quantité déclarée (tonnes)],MATCH($B15,tblMatières[Matière],0))</f>
        <v>18948.096000000001</v>
      </c>
      <c r="G15" s="207">
        <f t="shared" si="1"/>
        <v>18948.096000000001</v>
      </c>
      <c r="H15" s="214">
        <f t="shared" si="2"/>
        <v>7133.6800058320023</v>
      </c>
      <c r="I15" s="221">
        <f>INDEX(tblMatières[Coût net ACA],MATCH($B15,tblMatières[Matière],0))</f>
        <v>143.29391174143328</v>
      </c>
      <c r="J15" s="319">
        <f t="shared" si="3"/>
        <v>1022212.9131473182</v>
      </c>
      <c r="K15" s="151">
        <f t="shared" si="4"/>
        <v>0.34680393323137099</v>
      </c>
      <c r="L15" s="319">
        <f t="shared" si="5"/>
        <v>3045013.1016180175</v>
      </c>
    </row>
    <row r="16" spans="1:12" ht="15.75" thickBot="1" x14ac:dyDescent="0.3">
      <c r="A16" s="55" t="str">
        <f>'Sommaire exécutif'!A15</f>
        <v>IMPRIMÉS TOTAL</v>
      </c>
      <c r="B16" s="50"/>
      <c r="C16" s="59">
        <f>SUBTOTAL(9,C10:C15)</f>
        <v>98136.228000000003</v>
      </c>
      <c r="D16" s="21">
        <f t="shared" ref="D16:H16" si="6">SUBTOTAL(9,D10:D15)</f>
        <v>77648.345916639271</v>
      </c>
      <c r="E16" s="21">
        <f t="shared" si="6"/>
        <v>20487.882083360724</v>
      </c>
      <c r="F16" s="28">
        <f t="shared" si="6"/>
        <v>98136.228000000003</v>
      </c>
      <c r="G16" s="59">
        <f t="shared" si="6"/>
        <v>98136.228000000003</v>
      </c>
      <c r="H16" s="21">
        <f t="shared" si="6"/>
        <v>20487.882083360724</v>
      </c>
      <c r="I16" s="222"/>
      <c r="J16" s="320">
        <f>SUBTOTAL(9,J10:J15)</f>
        <v>2947523.9903503247</v>
      </c>
      <c r="K16" s="446">
        <f>SUBTOTAL(9,K10:K15)</f>
        <v>0.99999999999999978</v>
      </c>
      <c r="L16" s="320">
        <f>SUBTOTAL(9,L10:L15)</f>
        <v>8780215.0144200642</v>
      </c>
    </row>
    <row r="17" spans="1:12" x14ac:dyDescent="0.25">
      <c r="A17" s="38"/>
      <c r="B17" s="39"/>
      <c r="C17" s="38"/>
      <c r="D17" s="35"/>
      <c r="E17" s="35"/>
      <c r="F17" s="39"/>
      <c r="G17" s="208"/>
      <c r="H17" s="215"/>
      <c r="I17" s="200"/>
      <c r="J17" s="321"/>
      <c r="K17" s="79"/>
      <c r="L17" s="324"/>
    </row>
    <row r="18" spans="1:12" x14ac:dyDescent="0.25">
      <c r="A18" s="43" t="str">
        <f>'Sommaire exécutif'!A17</f>
        <v>CONTENANTS ET EMBALLAGES</v>
      </c>
      <c r="B18" s="45"/>
      <c r="C18" s="34"/>
      <c r="D18" s="11"/>
      <c r="E18" s="11"/>
      <c r="F18" s="45"/>
      <c r="G18" s="209"/>
      <c r="H18" s="216"/>
      <c r="I18" s="201"/>
      <c r="J18" s="322"/>
      <c r="K18" s="78"/>
      <c r="L18" s="326"/>
    </row>
    <row r="19" spans="1:12" x14ac:dyDescent="0.25">
      <c r="A19" s="46" t="str">
        <f>'Sommaire exécutif'!A18</f>
        <v>Papier et carton</v>
      </c>
      <c r="B19" s="37" t="str">
        <f>INDEX(ListeMatières,7)</f>
        <v>Carton ondulé</v>
      </c>
      <c r="C19" s="58">
        <f>INDEX(tblMatières[Quantité générée (tonnes)],MATCH($B19,tblMatières[Matière],0))</f>
        <v>58408.389000000003</v>
      </c>
      <c r="D19" s="26">
        <f>INDEX(tblMatières[Quantité récupérée (tonnes)],MATCH($B19,tblMatières[Matière],0))</f>
        <v>45258.102855473473</v>
      </c>
      <c r="E19" s="26">
        <f t="shared" ref="E19:E25" si="7">C19-D19</f>
        <v>13150.28614452653</v>
      </c>
      <c r="F19" s="48">
        <f>INDEX(tblMatières[Quantité déclarée (tonnes)],MATCH($B19,tblMatières[Matière],0))</f>
        <v>58408.389000000003</v>
      </c>
      <c r="G19" s="205">
        <f t="shared" ref="G19:G25" si="8">ObjectifRecup*C19</f>
        <v>58408.389000000003</v>
      </c>
      <c r="H19" s="213">
        <f t="shared" ref="H19:H25" si="9">G19-D19</f>
        <v>13150.28614452653</v>
      </c>
      <c r="I19" s="220">
        <f>INDEX(tblMatières[Coût net ACA],MATCH($B19,tblMatières[Matière],0))</f>
        <v>192.03274885770679</v>
      </c>
      <c r="J19" s="318">
        <f t="shared" ref="J19:J25" si="10">MAX(0,I19*H19)</f>
        <v>2525285.5965988445</v>
      </c>
      <c r="K19" s="76">
        <f t="shared" ref="K19:K25" si="11">$J19/$J$49</f>
        <v>4.0842344684184975E-2</v>
      </c>
      <c r="L19" s="318">
        <f t="shared" ref="L19:L25" si="12">K19*$L$55</f>
        <v>1261179.3503319127</v>
      </c>
    </row>
    <row r="20" spans="1:12" x14ac:dyDescent="0.25">
      <c r="A20" s="46"/>
      <c r="B20" s="37" t="str">
        <f>INDEX(ListeMatières,8)</f>
        <v>Sacs de papier kraft</v>
      </c>
      <c r="C20" s="58">
        <f>INDEX(tblMatières[Quantité générée (tonnes)],MATCH($B20,tblMatières[Matière],0))</f>
        <v>3906.12</v>
      </c>
      <c r="D20" s="26">
        <f>INDEX(tblMatières[Quantité récupérée (tonnes)],MATCH($B20,tblMatières[Matière],0))</f>
        <v>1611.354102772769</v>
      </c>
      <c r="E20" s="26">
        <f t="shared" si="7"/>
        <v>2294.7658972272311</v>
      </c>
      <c r="F20" s="48">
        <f>INDEX(tblMatières[Quantité déclarée (tonnes)],MATCH($B20,tblMatières[Matière],0))</f>
        <v>3906.12</v>
      </c>
      <c r="G20" s="206">
        <f t="shared" si="8"/>
        <v>3906.12</v>
      </c>
      <c r="H20" s="213">
        <f t="shared" si="9"/>
        <v>2294.7658972272311</v>
      </c>
      <c r="I20" s="220">
        <f>INDEX(tblMatières[Coût net ACA],MATCH($B20,tblMatières[Matière],0))</f>
        <v>192.03274885770679</v>
      </c>
      <c r="J20" s="318">
        <f t="shared" si="10"/>
        <v>440670.20322946709</v>
      </c>
      <c r="K20" s="76">
        <f t="shared" si="11"/>
        <v>7.1271163770894545E-3</v>
      </c>
      <c r="L20" s="318">
        <f t="shared" si="12"/>
        <v>220079.72538555504</v>
      </c>
    </row>
    <row r="21" spans="1:12" x14ac:dyDescent="0.25">
      <c r="A21" s="46"/>
      <c r="B21" s="37" t="str">
        <f>INDEX(ListeMatières,9)</f>
        <v>Emballages de papier kraft</v>
      </c>
      <c r="C21" s="58">
        <f>INDEX(tblMatières[Quantité générée (tonnes)],MATCH($B21,tblMatières[Matière],0))</f>
        <v>2207.5160000000001</v>
      </c>
      <c r="D21" s="26">
        <f>INDEX(tblMatières[Quantité récupérée (tonnes)],MATCH($B21,tblMatières[Matière],0))</f>
        <v>511.60760801223461</v>
      </c>
      <c r="E21" s="26">
        <f t="shared" si="7"/>
        <v>1695.9083919877655</v>
      </c>
      <c r="F21" s="48">
        <f>INDEX(tblMatières[Quantité déclarée (tonnes)],MATCH($B21,tblMatières[Matière],0))</f>
        <v>2207.5160000000001</v>
      </c>
      <c r="G21" s="206">
        <f t="shared" si="8"/>
        <v>2207.5160000000001</v>
      </c>
      <c r="H21" s="213">
        <f t="shared" si="9"/>
        <v>1695.9083919877655</v>
      </c>
      <c r="I21" s="220">
        <f>INDEX(tblMatières[Coût net ACA],MATCH($B21,tblMatières[Matière],0))</f>
        <v>192.03274885770679</v>
      </c>
      <c r="J21" s="318">
        <f t="shared" si="10"/>
        <v>325669.95032426395</v>
      </c>
      <c r="K21" s="76">
        <f t="shared" si="11"/>
        <v>5.2671762680385429E-3</v>
      </c>
      <c r="L21" s="318">
        <f t="shared" si="12"/>
        <v>162646.24362716306</v>
      </c>
    </row>
    <row r="22" spans="1:12" x14ac:dyDescent="0.25">
      <c r="A22" s="46"/>
      <c r="B22" s="37" t="str">
        <f>INDEX(ListeMatières,10)</f>
        <v>Carton plat et autres emballages de papier</v>
      </c>
      <c r="C22" s="58">
        <f>INDEX(tblMatières[Quantité générée (tonnes)],MATCH($B22,tblMatières[Matière],0))</f>
        <v>92654.394</v>
      </c>
      <c r="D22" s="26">
        <f>INDEX(tblMatières[Quantité récupérée (tonnes)],MATCH($B22,tblMatières[Matière],0))</f>
        <v>57330.131093507713</v>
      </c>
      <c r="E22" s="26">
        <f t="shared" si="7"/>
        <v>35324.262906492288</v>
      </c>
      <c r="F22" s="48">
        <f>INDEX(tblMatières[Quantité déclarée (tonnes)],MATCH($B22,tblMatières[Matière],0))</f>
        <v>92654.394</v>
      </c>
      <c r="G22" s="206">
        <f t="shared" si="8"/>
        <v>92654.394</v>
      </c>
      <c r="H22" s="213">
        <f t="shared" si="9"/>
        <v>35324.262906492288</v>
      </c>
      <c r="I22" s="220">
        <f>INDEX(tblMatières[Coût net ACA],MATCH($B22,tblMatières[Matière],0))</f>
        <v>187.12809005878682</v>
      </c>
      <c r="J22" s="318">
        <f t="shared" si="10"/>
        <v>6610161.8504263517</v>
      </c>
      <c r="K22" s="76">
        <f t="shared" si="11"/>
        <v>0.10690850534964262</v>
      </c>
      <c r="L22" s="318">
        <f t="shared" si="12"/>
        <v>3301250.218722811</v>
      </c>
    </row>
    <row r="23" spans="1:12" x14ac:dyDescent="0.25">
      <c r="A23" s="46"/>
      <c r="B23" s="37" t="str">
        <f>INDEX(ListeMatières,11)</f>
        <v>Contenants à pignon</v>
      </c>
      <c r="C23" s="58">
        <f>INDEX(tblMatières[Quantité générée (tonnes)],MATCH($B23,tblMatières[Matière],0))</f>
        <v>9680.7970000000005</v>
      </c>
      <c r="D23" s="26">
        <f>INDEX(tblMatières[Quantité récupérée (tonnes)],MATCH($B23,tblMatières[Matière],0))</f>
        <v>7539.7734574724036</v>
      </c>
      <c r="E23" s="26">
        <f t="shared" si="7"/>
        <v>2141.0235425275969</v>
      </c>
      <c r="F23" s="48">
        <f>INDEX(tblMatières[Quantité déclarée (tonnes)],MATCH($B23,tblMatières[Matière],0))</f>
        <v>9680.7970000000005</v>
      </c>
      <c r="G23" s="206">
        <f t="shared" si="8"/>
        <v>9680.7970000000005</v>
      </c>
      <c r="H23" s="213">
        <f t="shared" si="9"/>
        <v>2141.0235425275969</v>
      </c>
      <c r="I23" s="220">
        <f>INDEX(tblMatières[Coût net ACA],MATCH($B23,tblMatières[Matière],0))</f>
        <v>216.74199596808603</v>
      </c>
      <c r="J23" s="318">
        <f t="shared" si="10"/>
        <v>464049.71602209366</v>
      </c>
      <c r="K23" s="76">
        <f t="shared" si="11"/>
        <v>7.50524157659593E-3</v>
      </c>
      <c r="L23" s="318">
        <f t="shared" si="12"/>
        <v>231755.93293791826</v>
      </c>
    </row>
    <row r="24" spans="1:12" x14ac:dyDescent="0.25">
      <c r="A24" s="46"/>
      <c r="B24" s="37" t="str">
        <f>INDEX(ListeMatières,12)</f>
        <v>Laminés de papier</v>
      </c>
      <c r="C24" s="58">
        <f>INDEX(tblMatières[Quantité générée (tonnes)],MATCH($B24,tblMatières[Matière],0))</f>
        <v>13115.505999999999</v>
      </c>
      <c r="D24" s="26">
        <f>INDEX(tblMatières[Quantité récupérée (tonnes)],MATCH($B24,tblMatières[Matière],0))</f>
        <v>4385.0394479041151</v>
      </c>
      <c r="E24" s="26">
        <f t="shared" si="7"/>
        <v>8730.4665520958843</v>
      </c>
      <c r="F24" s="48">
        <f>INDEX(tblMatières[Quantité déclarée (tonnes)],MATCH($B24,tblMatières[Matière],0))</f>
        <v>13115.505999999999</v>
      </c>
      <c r="G24" s="206">
        <f t="shared" si="8"/>
        <v>13115.505999999999</v>
      </c>
      <c r="H24" s="213">
        <f t="shared" si="9"/>
        <v>8730.4665520958843</v>
      </c>
      <c r="I24" s="220">
        <f>INDEX(tblMatières[Coût net ACA],MATCH($B24,tblMatières[Matière],0))</f>
        <v>263.88279369951476</v>
      </c>
      <c r="J24" s="318">
        <f t="shared" si="10"/>
        <v>2303819.9040672323</v>
      </c>
      <c r="K24" s="76">
        <f t="shared" si="11"/>
        <v>3.7260501045477241E-2</v>
      </c>
      <c r="L24" s="318">
        <f t="shared" si="12"/>
        <v>1150574.847378263</v>
      </c>
    </row>
    <row r="25" spans="1:12" x14ac:dyDescent="0.25">
      <c r="A25" s="46"/>
      <c r="B25" s="37" t="str">
        <f>INDEX(ListeMatières,13)</f>
        <v>Contenants aseptiques</v>
      </c>
      <c r="C25" s="58">
        <f>INDEX(tblMatières[Quantité générée (tonnes)],MATCH($B25,tblMatières[Matière],0))</f>
        <v>5539.04</v>
      </c>
      <c r="D25" s="26">
        <f>INDEX(tblMatières[Quantité récupérée (tonnes)],MATCH($B25,tblMatières[Matière],0))</f>
        <v>3043.685539740221</v>
      </c>
      <c r="E25" s="26">
        <f t="shared" si="7"/>
        <v>2495.354460259779</v>
      </c>
      <c r="F25" s="48">
        <f>INDEX(tblMatières[Quantité déclarée (tonnes)],MATCH($B25,tblMatières[Matière],0))</f>
        <v>5539.04</v>
      </c>
      <c r="G25" s="207">
        <f t="shared" si="8"/>
        <v>5539.04</v>
      </c>
      <c r="H25" s="213">
        <f t="shared" si="9"/>
        <v>2495.354460259779</v>
      </c>
      <c r="I25" s="220">
        <f>INDEX(tblMatières[Coût net ACA],MATCH($B25,tblMatières[Matière],0))</f>
        <v>227.77303190118616</v>
      </c>
      <c r="J25" s="318">
        <f t="shared" si="10"/>
        <v>568374.45108151785</v>
      </c>
      <c r="K25" s="76">
        <f t="shared" si="11"/>
        <v>9.1925227277346311E-3</v>
      </c>
      <c r="L25" s="318">
        <f t="shared" si="12"/>
        <v>283857.84242609661</v>
      </c>
    </row>
    <row r="26" spans="1:12" x14ac:dyDescent="0.25">
      <c r="A26" s="43" t="str">
        <f>'Sommaire exécutif'!A25</f>
        <v>Papier et carton TOTAL</v>
      </c>
      <c r="B26" s="51"/>
      <c r="C26" s="60">
        <f>SUBTOTAL(9,C19:C25)</f>
        <v>185511.76199999999</v>
      </c>
      <c r="D26" s="22">
        <f t="shared" ref="D26:H26" si="13">SUBTOTAL(9,D19:D25)</f>
        <v>119679.69410488293</v>
      </c>
      <c r="E26" s="22">
        <f t="shared" si="13"/>
        <v>65832.067895117085</v>
      </c>
      <c r="F26" s="29">
        <f t="shared" si="13"/>
        <v>185511.76199999999</v>
      </c>
      <c r="G26" s="60">
        <f t="shared" si="13"/>
        <v>185511.76199999999</v>
      </c>
      <c r="H26" s="22">
        <f t="shared" si="13"/>
        <v>65832.067895117085</v>
      </c>
      <c r="I26" s="223"/>
      <c r="J26" s="323">
        <f>SUBTOTAL(9,J19:J25)</f>
        <v>13238031.671749771</v>
      </c>
      <c r="K26" s="87">
        <f t="shared" ref="K26:L26" si="14">SUBTOTAL(9,K19:K25)</f>
        <v>0.21410340802876338</v>
      </c>
      <c r="L26" s="323">
        <f t="shared" si="14"/>
        <v>6611344.1608097199</v>
      </c>
    </row>
    <row r="27" spans="1:12" x14ac:dyDescent="0.25">
      <c r="A27" s="46" t="str">
        <f>'Sommaire exécutif'!A26</f>
        <v>Plastique</v>
      </c>
      <c r="B27" s="37" t="str">
        <f>INDEX(ListeMatières,14)</f>
        <v>Bouteilles PET</v>
      </c>
      <c r="C27" s="58">
        <f>INDEX(tblMatières[Quantité générée (tonnes)],MATCH($B27,tblMatières[Matière],0))</f>
        <v>31023.692999999999</v>
      </c>
      <c r="D27" s="26">
        <f>INDEX(tblMatières[Quantité récupérée (tonnes)],MATCH($B27,tblMatières[Matière],0))</f>
        <v>21038.603224586255</v>
      </c>
      <c r="E27" s="26">
        <f t="shared" ref="E27:E37" si="15">C27-D27</f>
        <v>9985.0897754137441</v>
      </c>
      <c r="F27" s="48">
        <f>INDEX(tblMatières[Quantité déclarée (tonnes)],MATCH($B27,tblMatières[Matière],0))</f>
        <v>31023.692999999999</v>
      </c>
      <c r="G27" s="206">
        <f t="shared" ref="G27:G43" si="16">ObjectifRecup*C27</f>
        <v>31023.692999999999</v>
      </c>
      <c r="H27" s="213">
        <f t="shared" ref="H27:H43" si="17">G27-D27</f>
        <v>9985.0897754137441</v>
      </c>
      <c r="I27" s="220">
        <f>INDEX(tblMatières[Coût net ACA],MATCH($B27,tblMatières[Matière],0))</f>
        <v>242.41591106519147</v>
      </c>
      <c r="J27" s="318">
        <f t="shared" ref="J27:J37" si="18">MAX(0,I27*H27)</f>
        <v>2420544.634974651</v>
      </c>
      <c r="K27" s="80">
        <f t="shared" ref="K27:K37" si="19">$J27/$J$49</f>
        <v>3.9148331752352668E-2</v>
      </c>
      <c r="L27" s="327">
        <f t="shared" ref="L27:L37" si="20">K27*$L$55</f>
        <v>1208869.568772055</v>
      </c>
    </row>
    <row r="28" spans="1:12" x14ac:dyDescent="0.25">
      <c r="A28" s="38"/>
      <c r="B28" s="37" t="str">
        <f>INDEX(ListeMatières,15)</f>
        <v>Bouteilles, tous formats, et contenants &lt; 5l. HDPE</v>
      </c>
      <c r="C28" s="58">
        <f>INDEX(tblMatières[Quantité générée (tonnes)],MATCH($B28,tblMatières[Matière],0))</f>
        <v>20311.441999999999</v>
      </c>
      <c r="D28" s="26">
        <f>INDEX(tblMatières[Quantité récupérée (tonnes)],MATCH($B28,tblMatières[Matière],0))</f>
        <v>13818.283875375495</v>
      </c>
      <c r="E28" s="26">
        <f t="shared" si="15"/>
        <v>6493.1581246245041</v>
      </c>
      <c r="F28" s="48">
        <f>INDEX(tblMatières[Quantité déclarée (tonnes)],MATCH($B28,tblMatières[Matière],0))</f>
        <v>20311.441999999999</v>
      </c>
      <c r="G28" s="206">
        <f t="shared" si="16"/>
        <v>20311.441999999999</v>
      </c>
      <c r="H28" s="213">
        <f t="shared" si="17"/>
        <v>6493.1581246245041</v>
      </c>
      <c r="I28" s="220">
        <f>INDEX(tblMatières[Coût net ACA],MATCH($B28,tblMatières[Matière],0))</f>
        <v>80.351532512781716</v>
      </c>
      <c r="J28" s="318">
        <f t="shared" si="18"/>
        <v>521735.20616139862</v>
      </c>
      <c r="K28" s="80">
        <f t="shared" si="19"/>
        <v>8.4382095841428056E-3</v>
      </c>
      <c r="L28" s="327">
        <f t="shared" si="20"/>
        <v>260565.24823890897</v>
      </c>
    </row>
    <row r="29" spans="1:12" x14ac:dyDescent="0.25">
      <c r="A29" s="38"/>
      <c r="B29" s="37" t="str">
        <f>INDEX(ListeMatières,16)</f>
        <v>Plastiques stratifiés</v>
      </c>
      <c r="C29" s="58">
        <f>INDEX(tblMatières[Quantité générée (tonnes)],MATCH($B29,tblMatières[Matière],0))</f>
        <v>15885.589</v>
      </c>
      <c r="D29" s="26">
        <f>INDEX(tblMatières[Quantité récupérée (tonnes)],MATCH($B29,tblMatières[Matière],0))</f>
        <v>2566.4755872332394</v>
      </c>
      <c r="E29" s="26">
        <f t="shared" si="15"/>
        <v>13319.113412766761</v>
      </c>
      <c r="F29" s="48">
        <f>INDEX(tblMatières[Quantité déclarée (tonnes)],MATCH($B29,tblMatières[Matière],0))</f>
        <v>15885.589</v>
      </c>
      <c r="G29" s="206">
        <f t="shared" si="16"/>
        <v>15885.589</v>
      </c>
      <c r="H29" s="213">
        <f t="shared" si="17"/>
        <v>13319.113412766761</v>
      </c>
      <c r="I29" s="220">
        <f>INDEX(tblMatières[Coût net ACA],MATCH($B29,tblMatières[Matière],0))</f>
        <v>621.97324859830064</v>
      </c>
      <c r="J29" s="318">
        <f t="shared" si="18"/>
        <v>8284132.2377877412</v>
      </c>
      <c r="K29" s="80">
        <f t="shared" si="19"/>
        <v>0.13398222550383604</v>
      </c>
      <c r="L29" s="327">
        <f t="shared" si="20"/>
        <v>4137265.3167579458</v>
      </c>
    </row>
    <row r="30" spans="1:12" x14ac:dyDescent="0.25">
      <c r="A30" s="38"/>
      <c r="B30" s="37" t="str">
        <f>INDEX(ListeMatières,17)</f>
        <v>Pellicules HDPE et LDPE</v>
      </c>
      <c r="C30" s="58">
        <f>INDEX(tblMatières[Quantité générée (tonnes)],MATCH($B30,tblMatières[Matière],0))</f>
        <v>20483.853999999999</v>
      </c>
      <c r="D30" s="26">
        <f>INDEX(tblMatières[Quantité récupérée (tonnes)],MATCH($B30,tblMatières[Matière],0))</f>
        <v>7126.9914428520478</v>
      </c>
      <c r="E30" s="26">
        <f t="shared" si="15"/>
        <v>13356.862557147952</v>
      </c>
      <c r="F30" s="48">
        <f>INDEX(tblMatières[Quantité déclarée (tonnes)],MATCH($B30,tblMatières[Matière],0))</f>
        <v>20483.853999999999</v>
      </c>
      <c r="G30" s="206">
        <f t="shared" si="16"/>
        <v>20483.853999999999</v>
      </c>
      <c r="H30" s="213">
        <f t="shared" si="17"/>
        <v>13356.862557147952</v>
      </c>
      <c r="I30" s="220">
        <f>INDEX(tblMatières[Coût net ACA],MATCH($B30,tblMatières[Matière],0))</f>
        <v>593.8744079494785</v>
      </c>
      <c r="J30" s="318">
        <f t="shared" si="18"/>
        <v>7932298.8431887971</v>
      </c>
      <c r="K30" s="80">
        <f t="shared" si="19"/>
        <v>0.12829189851944639</v>
      </c>
      <c r="L30" s="327">
        <f t="shared" si="20"/>
        <v>3961552.5131752566</v>
      </c>
    </row>
    <row r="31" spans="1:12" x14ac:dyDescent="0.25">
      <c r="A31" s="38"/>
      <c r="B31" s="37" t="str">
        <f>INDEX(ListeMatières,18)</f>
        <v>Sacs d'emplettes de pellicules HDPE et LDPE</v>
      </c>
      <c r="C31" s="58">
        <f>INDEX(tblMatières[Quantité générée (tonnes)],MATCH($B31,tblMatières[Matière],0))</f>
        <v>10065.867</v>
      </c>
      <c r="D31" s="26">
        <f>INDEX(tblMatières[Quantité récupérée (tonnes)],MATCH($B31,tblMatières[Matière],0))</f>
        <v>1586.2200315921225</v>
      </c>
      <c r="E31" s="26">
        <f t="shared" si="15"/>
        <v>8479.6469684078784</v>
      </c>
      <c r="F31" s="48">
        <f>INDEX(tblMatières[Quantité déclarée (tonnes)],MATCH($B31,tblMatières[Matière],0))</f>
        <v>10065.867</v>
      </c>
      <c r="G31" s="206">
        <f t="shared" si="16"/>
        <v>10065.867</v>
      </c>
      <c r="H31" s="213">
        <f t="shared" si="17"/>
        <v>8479.6469684078784</v>
      </c>
      <c r="I31" s="220">
        <f>INDEX(tblMatières[Coût net ACA],MATCH($B31,tblMatières[Matière],0))</f>
        <v>593.8744079494785</v>
      </c>
      <c r="J31" s="318">
        <f t="shared" si="18"/>
        <v>5035845.3229838191</v>
      </c>
      <c r="K31" s="80">
        <f t="shared" si="19"/>
        <v>8.1446522616910433E-2</v>
      </c>
      <c r="L31" s="327">
        <f t="shared" si="20"/>
        <v>2515004.2994608823</v>
      </c>
    </row>
    <row r="32" spans="1:12" x14ac:dyDescent="0.25">
      <c r="A32" s="38"/>
      <c r="B32" s="37" t="str">
        <f>INDEX(ListeMatières,19)</f>
        <v>Polystyrène expansé alimentaire</v>
      </c>
      <c r="C32" s="58">
        <f>INDEX(tblMatières[Quantité générée (tonnes)],MATCH($B32,tblMatières[Matière],0))</f>
        <v>3369.3789999999999</v>
      </c>
      <c r="D32" s="26">
        <f>INDEX(tblMatières[Quantité récupérée (tonnes)],MATCH($B32,tblMatières[Matière],0))</f>
        <v>388.92322480010046</v>
      </c>
      <c r="E32" s="26">
        <f t="shared" si="15"/>
        <v>2980.4557751998996</v>
      </c>
      <c r="F32" s="48">
        <f>INDEX(tblMatières[Quantité déclarée (tonnes)],MATCH($B32,tblMatières[Matière],0))</f>
        <v>3369.3789999999999</v>
      </c>
      <c r="G32" s="206">
        <f t="shared" si="16"/>
        <v>3369.3789999999999</v>
      </c>
      <c r="H32" s="213">
        <f t="shared" si="17"/>
        <v>2980.4557751998996</v>
      </c>
      <c r="I32" s="220">
        <f>INDEX(tblMatières[Coût net ACA],MATCH($B32,tblMatières[Matière],0))</f>
        <v>2134.5365333725535</v>
      </c>
      <c r="J32" s="318">
        <f t="shared" si="18"/>
        <v>6361891.7382654008</v>
      </c>
      <c r="K32" s="80">
        <f t="shared" si="19"/>
        <v>0.10289314427154686</v>
      </c>
      <c r="L32" s="327">
        <f t="shared" si="20"/>
        <v>3177259.0395929366</v>
      </c>
    </row>
    <row r="33" spans="1:12" x14ac:dyDescent="0.25">
      <c r="A33" s="259"/>
      <c r="B33" s="37" t="str">
        <f>INDEX(ListeMatières,20)</f>
        <v>Polystyrène expansé de protection</v>
      </c>
      <c r="C33" s="58">
        <f>INDEX(tblMatières[Quantité générée (tonnes)],MATCH($B33,tblMatières[Matière],0))</f>
        <v>1085.0350000000001</v>
      </c>
      <c r="D33" s="26">
        <f>INDEX(tblMatières[Quantité récupérée (tonnes)],MATCH($B33,tblMatières[Matière],0))</f>
        <v>407.00702106329919</v>
      </c>
      <c r="E33" s="26">
        <f>C33-D33</f>
        <v>678.02797893670095</v>
      </c>
      <c r="F33" s="48">
        <f>INDEX(tblMatières[Quantité déclarée (tonnes)],MATCH($B33,tblMatières[Matière],0))</f>
        <v>1085.0350000000001</v>
      </c>
      <c r="G33" s="206">
        <f>ObjectifRecup*C33</f>
        <v>1085.0350000000001</v>
      </c>
      <c r="H33" s="213">
        <f>G33-D33</f>
        <v>678.02797893670095</v>
      </c>
      <c r="I33" s="220">
        <f>INDEX(tblMatières[Coût net ACA],MATCH($B33,tblMatières[Matière],0))</f>
        <v>2134.5365333725535</v>
      </c>
      <c r="J33" s="318">
        <f>MAX(0,I33*H33)</f>
        <v>1447275.4916891444</v>
      </c>
      <c r="K33" s="80">
        <f t="shared" si="19"/>
        <v>2.3407302747916196E-2</v>
      </c>
      <c r="L33" s="327">
        <f t="shared" si="20"/>
        <v>722799.02392749814</v>
      </c>
    </row>
    <row r="34" spans="1:12" x14ac:dyDescent="0.25">
      <c r="A34" s="38"/>
      <c r="B34" s="37" t="str">
        <f>INDEX(ListeMatières,21)</f>
        <v>Polystyrène non expansé</v>
      </c>
      <c r="C34" s="58">
        <f>INDEX(tblMatières[Quantité générée (tonnes)],MATCH($B34,tblMatières[Matière],0))</f>
        <v>4235.3710000000001</v>
      </c>
      <c r="D34" s="26">
        <f>INDEX(tblMatières[Quantité récupérée (tonnes)],MATCH($B34,tblMatières[Matière],0))</f>
        <v>1053.7743325675031</v>
      </c>
      <c r="E34" s="26">
        <f t="shared" si="15"/>
        <v>3181.5966674324973</v>
      </c>
      <c r="F34" s="48">
        <f>INDEX(tblMatières[Quantité déclarée (tonnes)],MATCH($B34,tblMatières[Matière],0))</f>
        <v>4235.3710000000001</v>
      </c>
      <c r="G34" s="206">
        <f t="shared" si="16"/>
        <v>4235.3710000000001</v>
      </c>
      <c r="H34" s="213">
        <f t="shared" si="17"/>
        <v>3181.5966674324973</v>
      </c>
      <c r="I34" s="220">
        <f>INDEX(tblMatières[Coût net ACA],MATCH($B34,tblMatières[Matière],0))</f>
        <v>418.36940823149445</v>
      </c>
      <c r="J34" s="318">
        <f t="shared" si="18"/>
        <v>1331082.7149850286</v>
      </c>
      <c r="K34" s="80">
        <f t="shared" si="19"/>
        <v>2.1528075526110638E-2</v>
      </c>
      <c r="L34" s="327">
        <f t="shared" si="20"/>
        <v>664769.97135842498</v>
      </c>
    </row>
    <row r="35" spans="1:12" x14ac:dyDescent="0.25">
      <c r="A35" s="38"/>
      <c r="B35" s="37" t="str">
        <f>INDEX(ListeMatières,22)</f>
        <v>Contenants de PET</v>
      </c>
      <c r="C35" s="58">
        <f>INDEX(tblMatières[Quantité générée (tonnes)],MATCH($B35,tblMatières[Matière],0))</f>
        <v>8932.5040000000008</v>
      </c>
      <c r="D35" s="26">
        <f>INDEX(tblMatières[Quantité récupérée (tonnes)],MATCH($B35,tblMatières[Matière],0))</f>
        <v>5114.7294039183307</v>
      </c>
      <c r="E35" s="26">
        <f t="shared" si="15"/>
        <v>3817.7745960816701</v>
      </c>
      <c r="F35" s="48">
        <f>INDEX(tblMatières[Quantité déclarée (tonnes)],MATCH($B35,tblMatières[Matière],0))</f>
        <v>8932.5040000000008</v>
      </c>
      <c r="G35" s="206">
        <f t="shared" si="16"/>
        <v>8932.5040000000008</v>
      </c>
      <c r="H35" s="213">
        <f t="shared" si="17"/>
        <v>3817.7745960816701</v>
      </c>
      <c r="I35" s="220">
        <f>INDEX(tblMatières[Coût net ACA],MATCH($B35,tblMatières[Matière],0))</f>
        <v>369.64286604312804</v>
      </c>
      <c r="J35" s="318">
        <f t="shared" si="18"/>
        <v>1411213.1436022741</v>
      </c>
      <c r="K35" s="80">
        <f t="shared" si="19"/>
        <v>2.2824053529424342E-2</v>
      </c>
      <c r="L35" s="327">
        <f t="shared" si="20"/>
        <v>704788.74865689187</v>
      </c>
    </row>
    <row r="36" spans="1:12" x14ac:dyDescent="0.25">
      <c r="A36" s="38"/>
      <c r="B36" s="37" t="str">
        <f>INDEX(ListeMatières,23)</f>
        <v>Acide polylactique (PLA) et autres plastiques dégradables</v>
      </c>
      <c r="C36" s="58">
        <f>INDEX(tblMatières[Quantité générée (tonnes)],MATCH($B36,tblMatières[Matière],0))</f>
        <v>350.81</v>
      </c>
      <c r="D36" s="26">
        <f>INDEX(tblMatières[Quantité récupérée (tonnes)],MATCH($B36,tblMatières[Matière],0))</f>
        <v>191.54226000000003</v>
      </c>
      <c r="E36" s="26">
        <f t="shared" si="15"/>
        <v>159.26773999999997</v>
      </c>
      <c r="F36" s="48">
        <f>INDEX(tblMatières[Quantité déclarée (tonnes)],MATCH($B36,tblMatières[Matière],0))</f>
        <v>350.81</v>
      </c>
      <c r="G36" s="206">
        <f t="shared" si="16"/>
        <v>350.81</v>
      </c>
      <c r="H36" s="213">
        <f t="shared" si="17"/>
        <v>159.26773999999997</v>
      </c>
      <c r="I36" s="220">
        <f>INDEX(tblMatières[Coût net ACA],MATCH($B36,tblMatières[Matière],0))</f>
        <v>279.1537244389915</v>
      </c>
      <c r="J36" s="318">
        <f t="shared" si="18"/>
        <v>44460.182803980941</v>
      </c>
      <c r="K36" s="80">
        <f t="shared" si="19"/>
        <v>7.190703947497002E-4</v>
      </c>
      <c r="L36" s="327">
        <f t="shared" si="20"/>
        <v>22204.325934414359</v>
      </c>
    </row>
    <row r="37" spans="1:12" x14ac:dyDescent="0.25">
      <c r="A37" s="38"/>
      <c r="B37" s="37" t="str">
        <f>INDEX(ListeMatières,24)</f>
        <v>Autres plastiques, polymères et polyuréthane</v>
      </c>
      <c r="C37" s="58">
        <f>INDEX(tblMatières[Quantité générée (tonnes)],MATCH($B37,tblMatières[Matière],0))</f>
        <v>37245.540999999997</v>
      </c>
      <c r="D37" s="26">
        <f>INDEX(tblMatières[Quantité récupérée (tonnes)],MATCH($B37,tblMatières[Matière],0))</f>
        <v>16276.301416999999</v>
      </c>
      <c r="E37" s="26">
        <f t="shared" si="15"/>
        <v>20969.239582999999</v>
      </c>
      <c r="F37" s="48">
        <f>INDEX(tblMatières[Quantité déclarée (tonnes)],MATCH($B37,tblMatières[Matière],0))</f>
        <v>37245.540999999997</v>
      </c>
      <c r="G37" s="207">
        <f t="shared" si="16"/>
        <v>37245.540999999997</v>
      </c>
      <c r="H37" s="213">
        <f t="shared" si="17"/>
        <v>20969.239582999999</v>
      </c>
      <c r="I37" s="220">
        <f>INDEX(tblMatières[Coût net ACA],MATCH($B37,tblMatières[Matière],0))</f>
        <v>306.98795659841801</v>
      </c>
      <c r="J37" s="318">
        <f t="shared" si="18"/>
        <v>6437304.0110078324</v>
      </c>
      <c r="K37" s="80">
        <f t="shared" si="19"/>
        <v>0.10411281385700383</v>
      </c>
      <c r="L37" s="327">
        <f t="shared" si="20"/>
        <v>3214921.4732093359</v>
      </c>
    </row>
    <row r="38" spans="1:12" x14ac:dyDescent="0.25">
      <c r="A38" s="43" t="str">
        <f>'Sommaire exécutif'!A37</f>
        <v>Plastique TOTAL</v>
      </c>
      <c r="B38" s="51"/>
      <c r="C38" s="61">
        <f>SUBTOTAL(9,C27:C37)</f>
        <v>152989.08499999996</v>
      </c>
      <c r="D38" s="24">
        <f t="shared" ref="D38:H38" si="21">SUBTOTAL(9,D27:D37)</f>
        <v>69568.851820988391</v>
      </c>
      <c r="E38" s="24">
        <f t="shared" si="21"/>
        <v>83420.2331790116</v>
      </c>
      <c r="F38" s="30">
        <f t="shared" si="21"/>
        <v>152989.08499999996</v>
      </c>
      <c r="G38" s="60">
        <f t="shared" si="21"/>
        <v>152989.08499999996</v>
      </c>
      <c r="H38" s="22">
        <f t="shared" si="21"/>
        <v>83420.2331790116</v>
      </c>
      <c r="I38" s="223"/>
      <c r="J38" s="323">
        <f t="shared" ref="J38:L38" si="22">SUBTOTAL(9,J27:J37)</f>
        <v>41227783.52745007</v>
      </c>
      <c r="K38" s="87">
        <f t="shared" si="22"/>
        <v>0.66679164830343995</v>
      </c>
      <c r="L38" s="323">
        <f t="shared" si="22"/>
        <v>20589999.529084548</v>
      </c>
    </row>
    <row r="39" spans="1:12" x14ac:dyDescent="0.25">
      <c r="A39" s="46" t="str">
        <f>'Sommaire exécutif'!A38</f>
        <v>Aluminium</v>
      </c>
      <c r="B39" s="37" t="str">
        <f>INDEX(ListeMatières,25)</f>
        <v>Contenants pour aliments et breuvages en aluminium</v>
      </c>
      <c r="C39" s="58">
        <f>INDEX(tblMatières[Quantité générée (tonnes)],MATCH($B39,tblMatières[Matière],0))</f>
        <v>4037.5839999999998</v>
      </c>
      <c r="D39" s="26">
        <f>INDEX(tblMatières[Quantité récupérée (tonnes)],MATCH($B39,tblMatières[Matière],0))</f>
        <v>1946.6893408439882</v>
      </c>
      <c r="E39" s="26">
        <f>C39-D39</f>
        <v>2090.8946591560116</v>
      </c>
      <c r="F39" s="48">
        <f>INDEX(tblMatières[Quantité déclarée (tonnes)],MATCH($B39,tblMatières[Matière],0))</f>
        <v>4037.5839999999998</v>
      </c>
      <c r="G39" s="206">
        <f t="shared" si="16"/>
        <v>4037.5839999999998</v>
      </c>
      <c r="H39" s="213">
        <f t="shared" si="17"/>
        <v>2090.8946591560116</v>
      </c>
      <c r="I39" s="220">
        <f>INDEX(tblMatières[Coût net ACA],MATCH($B39,tblMatières[Matière],0))</f>
        <v>-132.57145138474164</v>
      </c>
      <c r="J39" s="318">
        <f>MAX(0,I39*H39)</f>
        <v>0</v>
      </c>
      <c r="K39" s="76">
        <f>$J39/$J$49</f>
        <v>0</v>
      </c>
      <c r="L39" s="318">
        <f>K39*$L$55</f>
        <v>0</v>
      </c>
    </row>
    <row r="40" spans="1:12" x14ac:dyDescent="0.25">
      <c r="A40" s="46"/>
      <c r="B40" s="37" t="str">
        <f>INDEX(ListeMatières,26)</f>
        <v>Autres contenants et emballages en aluminium</v>
      </c>
      <c r="C40" s="58">
        <f>INDEX(tblMatières[Quantité générée (tonnes)],MATCH($B40,tblMatières[Matière],0))</f>
        <v>3963.2570000000001</v>
      </c>
      <c r="D40" s="26">
        <f>INDEX(tblMatières[Quantité récupérée (tonnes)],MATCH($B40,tblMatières[Matière],0))</f>
        <v>397.62020471495117</v>
      </c>
      <c r="E40" s="26">
        <f>C40-D40</f>
        <v>3565.6367952850487</v>
      </c>
      <c r="F40" s="48">
        <f>INDEX(tblMatières[Quantité déclarée (tonnes)],MATCH($B40,tblMatières[Matière],0))</f>
        <v>3963.2570000000001</v>
      </c>
      <c r="G40" s="206">
        <f t="shared" si="16"/>
        <v>3963.2570000000001</v>
      </c>
      <c r="H40" s="213">
        <f t="shared" si="17"/>
        <v>3565.6367952850487</v>
      </c>
      <c r="I40" s="220">
        <f>INDEX(tblMatières[Coût net ACA],MATCH($B40,tblMatières[Matière],0))</f>
        <v>21.827221580767173</v>
      </c>
      <c r="J40" s="318">
        <f>MAX(0,I40*H40)</f>
        <v>77827.944407223316</v>
      </c>
      <c r="K40" s="76">
        <f>$J40/$J$49</f>
        <v>1.2587391049244364E-3</v>
      </c>
      <c r="L40" s="318">
        <f>K40*$L$55</f>
        <v>38868.869524052716</v>
      </c>
    </row>
    <row r="41" spans="1:12" x14ac:dyDescent="0.25">
      <c r="A41" s="43" t="str">
        <f>'Sommaire exécutif'!A40</f>
        <v>Aluminium TOTAL</v>
      </c>
      <c r="B41" s="51"/>
      <c r="C41" s="60">
        <f>SUBTOTAL(9,C39:C40)</f>
        <v>8000.8410000000003</v>
      </c>
      <c r="D41" s="22">
        <f t="shared" ref="D41:H41" si="23">SUBTOTAL(9,D39:D40)</f>
        <v>2344.3095455589396</v>
      </c>
      <c r="E41" s="22">
        <f t="shared" si="23"/>
        <v>5656.5314544410603</v>
      </c>
      <c r="F41" s="29">
        <f t="shared" si="23"/>
        <v>8000.8410000000003</v>
      </c>
      <c r="G41" s="60">
        <f t="shared" si="23"/>
        <v>8000.8410000000003</v>
      </c>
      <c r="H41" s="22">
        <f t="shared" si="23"/>
        <v>5656.5314544410603</v>
      </c>
      <c r="I41" s="223"/>
      <c r="J41" s="323">
        <f t="shared" ref="J41:L41" si="24">SUBTOTAL(9,J39:J40)</f>
        <v>77827.944407223316</v>
      </c>
      <c r="K41" s="87">
        <f t="shared" si="24"/>
        <v>1.2587391049244364E-3</v>
      </c>
      <c r="L41" s="323">
        <f t="shared" si="24"/>
        <v>38868.869524052716</v>
      </c>
    </row>
    <row r="42" spans="1:12" x14ac:dyDescent="0.25">
      <c r="A42" s="46" t="str">
        <f>'Sommaire exécutif'!A41</f>
        <v>Acier</v>
      </c>
      <c r="B42" s="37" t="str">
        <f>INDEX(ListeMatières,27)</f>
        <v>Bombes aérosol en acier</v>
      </c>
      <c r="C42" s="58">
        <f>INDEX(tblMatières[Quantité générée (tonnes)],MATCH($B42,tblMatières[Matière],0))</f>
        <v>1741.7629999999999</v>
      </c>
      <c r="D42" s="26">
        <f>INDEX(tblMatières[Quantité récupérée (tonnes)],MATCH($B42,tblMatières[Matière],0))</f>
        <v>305.33105390000003</v>
      </c>
      <c r="E42" s="26">
        <f>C42-D42</f>
        <v>1436.4319461</v>
      </c>
      <c r="F42" s="48">
        <f>INDEX(tblMatières[Quantité déclarée (tonnes)],MATCH($B42,tblMatières[Matière],0))</f>
        <v>1741.7629999999999</v>
      </c>
      <c r="G42" s="205">
        <f t="shared" si="16"/>
        <v>1741.7629999999999</v>
      </c>
      <c r="H42" s="213">
        <f t="shared" si="17"/>
        <v>1436.4319461</v>
      </c>
      <c r="I42" s="220">
        <f>INDEX(tblMatières[Coût net ACA],MATCH($B42,tblMatières[Matière],0))</f>
        <v>27.31159181624821</v>
      </c>
      <c r="J42" s="318">
        <f>MAX(0,I42*H42)</f>
        <v>39231.24298370225</v>
      </c>
      <c r="K42" s="76">
        <f>$J42/$J$49</f>
        <v>6.3450088595421318E-4</v>
      </c>
      <c r="L42" s="318">
        <f>K42*$L$55</f>
        <v>19592.886288005389</v>
      </c>
    </row>
    <row r="43" spans="1:12" x14ac:dyDescent="0.25">
      <c r="A43" s="46"/>
      <c r="B43" s="37" t="str">
        <f>INDEX(ListeMatières,28)</f>
        <v>Autres contenants en acier</v>
      </c>
      <c r="C43" s="58">
        <f>INDEX(tblMatières[Quantité générée (tonnes)],MATCH($B43,tblMatières[Matière],0))</f>
        <v>25404.03</v>
      </c>
      <c r="D43" s="26">
        <f>INDEX(tblMatières[Quantité récupérée (tonnes)],MATCH($B43,tblMatières[Matière],0))</f>
        <v>16476.642154247114</v>
      </c>
      <c r="E43" s="26">
        <f>C43-D43</f>
        <v>8927.3878457528845</v>
      </c>
      <c r="F43" s="48">
        <f>INDEX(tblMatières[Quantité déclarée (tonnes)],MATCH($B43,tblMatières[Matière],0))</f>
        <v>25404.03</v>
      </c>
      <c r="G43" s="206">
        <f t="shared" si="16"/>
        <v>25404.03</v>
      </c>
      <c r="H43" s="213">
        <f t="shared" si="17"/>
        <v>8927.3878457528845</v>
      </c>
      <c r="I43" s="220">
        <f>INDEX(tblMatières[Coût net ACA],MATCH($B43,tblMatières[Matière],0))</f>
        <v>73.418793262923771</v>
      </c>
      <c r="J43" s="318">
        <f>MAX(0,I43*H43)</f>
        <v>655438.04262526939</v>
      </c>
      <c r="K43" s="76">
        <f>$J43/$J$49</f>
        <v>1.060063324801091E-2</v>
      </c>
      <c r="L43" s="318">
        <f>K43*$L$55</f>
        <v>327339.1832964514</v>
      </c>
    </row>
    <row r="44" spans="1:12" x14ac:dyDescent="0.25">
      <c r="A44" s="43" t="str">
        <f>'Sommaire exécutif'!A43</f>
        <v>Acier TOTAL</v>
      </c>
      <c r="B44" s="51"/>
      <c r="C44" s="60">
        <f t="shared" ref="C44:F44" si="25">SUBTOTAL(9,C42:C43)</f>
        <v>27145.792999999998</v>
      </c>
      <c r="D44" s="22">
        <f t="shared" si="25"/>
        <v>16781.973208147116</v>
      </c>
      <c r="E44" s="22">
        <f t="shared" si="25"/>
        <v>10363.819791852884</v>
      </c>
      <c r="F44" s="29">
        <f t="shared" si="25"/>
        <v>27145.792999999998</v>
      </c>
      <c r="G44" s="60">
        <f t="shared" ref="G44" si="26">SUBTOTAL(9,G42:G43)</f>
        <v>27145.792999999998</v>
      </c>
      <c r="H44" s="22">
        <f t="shared" ref="H44" si="27">SUBTOTAL(9,H42:H43)</f>
        <v>10363.819791852884</v>
      </c>
      <c r="I44" s="223"/>
      <c r="J44" s="323">
        <f t="shared" ref="J44" si="28">SUBTOTAL(9,J42:J43)</f>
        <v>694669.28560897161</v>
      </c>
      <c r="K44" s="87">
        <f t="shared" ref="K44" si="29">SUBTOTAL(9,K42:K43)</f>
        <v>1.1235134133965123E-2</v>
      </c>
      <c r="L44" s="323">
        <f t="shared" ref="L44" si="30">SUBTOTAL(9,L42:L43)</f>
        <v>346932.0695844568</v>
      </c>
    </row>
    <row r="45" spans="1:12" x14ac:dyDescent="0.25">
      <c r="A45" s="46" t="str">
        <f>'Sommaire exécutif'!A44</f>
        <v>Verre</v>
      </c>
      <c r="B45" s="37" t="str">
        <f>INDEX(ListeMatières,29)</f>
        <v>Verre clair</v>
      </c>
      <c r="C45" s="58">
        <f>INDEX(tblMatières[Quantité générée (tonnes)],MATCH($B45,tblMatières[Matière],0))</f>
        <v>64834.576999999997</v>
      </c>
      <c r="D45" s="26">
        <f>INDEX(tblMatières[Quantité récupérée (tonnes)],MATCH($B45,tblMatières[Matière],0))</f>
        <v>51115.154889588826</v>
      </c>
      <c r="E45" s="26">
        <f>C45-D45</f>
        <v>13719.422110411171</v>
      </c>
      <c r="F45" s="48">
        <f>INDEX(tblMatières[Quantité déclarée (tonnes)],MATCH($B45,tblMatières[Matière],0))</f>
        <v>64834.576999999997</v>
      </c>
      <c r="G45" s="205">
        <f>ObjectifRecup*C45</f>
        <v>64834.576999999997</v>
      </c>
      <c r="H45" s="213">
        <f>G45-D45</f>
        <v>13719.422110411171</v>
      </c>
      <c r="I45" s="220">
        <f>INDEX(tblMatières[Coût net ACA],MATCH($B45,tblMatières[Matière],0))</f>
        <v>202.92146062336138</v>
      </c>
      <c r="J45" s="318">
        <f>MAX(0,I45*H45)</f>
        <v>2783965.1735530738</v>
      </c>
      <c r="K45" s="650">
        <f>$J45/$J$49</f>
        <v>4.5026061749277833E-2</v>
      </c>
      <c r="L45" s="318">
        <f>K45*$L$55</f>
        <v>1390369.2293882316</v>
      </c>
    </row>
    <row r="46" spans="1:12" x14ac:dyDescent="0.25">
      <c r="A46" s="46"/>
      <c r="B46" s="39" t="str">
        <f>INDEX(ListeMatières,30)</f>
        <v>Verre coloré</v>
      </c>
      <c r="C46" s="58">
        <f>INDEX(tblMatières[Quantité générée (tonnes)],MATCH($B46,tblMatières[Matière],0))</f>
        <v>85096.618000000002</v>
      </c>
      <c r="D46" s="26">
        <f>INDEX(tblMatières[Quantité récupérée (tonnes)],MATCH($B46,tblMatières[Matière],0))</f>
        <v>67089.615000498467</v>
      </c>
      <c r="E46" s="26">
        <f>C46-D46</f>
        <v>18007.002999501536</v>
      </c>
      <c r="F46" s="48">
        <f>INDEX(tblMatières[Quantité déclarée (tonnes)],MATCH($B46,tblMatières[Matière],0))</f>
        <v>85096.618000000002</v>
      </c>
      <c r="G46" s="206">
        <f>ObjectifRecup*C46</f>
        <v>85096.618000000002</v>
      </c>
      <c r="H46" s="213">
        <f>G46-D46</f>
        <v>18007.002999501536</v>
      </c>
      <c r="I46" s="220">
        <f>INDEX(tblMatières[Coût net ACA],MATCH($B46,tblMatières[Matière],0))</f>
        <v>204.57832172323174</v>
      </c>
      <c r="J46" s="318">
        <f>MAX(0,I46*H46)</f>
        <v>3683842.4529032242</v>
      </c>
      <c r="K46" s="76">
        <f>$J46/$J$49</f>
        <v>5.9580097960542804E-2</v>
      </c>
      <c r="L46" s="318">
        <f>K46*$L$55</f>
        <v>1839786.3741570488</v>
      </c>
    </row>
    <row r="47" spans="1:12" x14ac:dyDescent="0.25">
      <c r="A47" s="46"/>
      <c r="B47" s="239" t="str">
        <f>INDEX(ListeMatières,31)</f>
        <v>Céramique</v>
      </c>
      <c r="C47" s="58">
        <f>INDEX(tblMatières[Quantité générée (tonnes)],MATCH($B47,tblMatières[Matière],0))</f>
        <v>678</v>
      </c>
      <c r="D47" s="26">
        <f>INDEX(tblMatières[Quantité récupérée (tonnes)],MATCH($B47,tblMatières[Matière],0))</f>
        <v>166.78800000000001</v>
      </c>
      <c r="E47" s="26">
        <f>C47-D47</f>
        <v>511.21199999999999</v>
      </c>
      <c r="F47" s="48">
        <f>INDEX(tblMatières[Quantité déclarée (tonnes)],MATCH($B47,tblMatières[Matière],0))</f>
        <v>678</v>
      </c>
      <c r="G47" s="206">
        <f>ObjectifRecup*C47</f>
        <v>678</v>
      </c>
      <c r="H47" s="213">
        <f>G47-D47</f>
        <v>511.21199999999999</v>
      </c>
      <c r="I47" s="220">
        <f>INDEX(tblMatières[Coût net ACA],MATCH($B47,tblMatières[Matière],0))</f>
        <v>242.48999999999998</v>
      </c>
      <c r="J47" s="318">
        <f>MAX(0,I47*H47)</f>
        <v>123963.79787999998</v>
      </c>
      <c r="K47" s="649">
        <f>$J47/$J$49</f>
        <v>2.0049107190864318E-3</v>
      </c>
      <c r="L47" s="318">
        <f>K47*$L$55</f>
        <v>61910.05971187602</v>
      </c>
    </row>
    <row r="48" spans="1:12" x14ac:dyDescent="0.25">
      <c r="A48" s="43" t="str">
        <f>'Sommaire exécutif'!A47</f>
        <v>Verre TOTAL</v>
      </c>
      <c r="B48" s="51"/>
      <c r="C48" s="60">
        <f t="shared" ref="C48:H48" si="31">SUBTOTAL(9,C45:C47)</f>
        <v>150609.19500000001</v>
      </c>
      <c r="D48" s="22">
        <f t="shared" si="31"/>
        <v>118371.55789008729</v>
      </c>
      <c r="E48" s="22">
        <f t="shared" si="31"/>
        <v>32237.637109912706</v>
      </c>
      <c r="F48" s="29">
        <f t="shared" si="31"/>
        <v>150609.19500000001</v>
      </c>
      <c r="G48" s="60">
        <f t="shared" si="31"/>
        <v>150609.19500000001</v>
      </c>
      <c r="H48" s="22">
        <f t="shared" si="31"/>
        <v>32237.637109912706</v>
      </c>
      <c r="I48" s="223"/>
      <c r="J48" s="323">
        <f>SUBTOTAL(9,J45:J47)</f>
        <v>6591771.4243362984</v>
      </c>
      <c r="K48" s="87">
        <f>SUBTOTAL(9,K45:K47)</f>
        <v>0.10661107042890706</v>
      </c>
      <c r="L48" s="323">
        <f>SUBTOTAL(9,L4:L45)</f>
        <v>37757728.872811072</v>
      </c>
    </row>
    <row r="49" spans="1:12" ht="15.75" thickBot="1" x14ac:dyDescent="0.3">
      <c r="A49" s="56" t="str">
        <f>'Sommaire exécutif'!A48</f>
        <v>CONTENANTS ET EMBALLAGES TOTAL</v>
      </c>
      <c r="B49" s="52"/>
      <c r="C49" s="144">
        <f>SUBTOTAL(9,C19:C48)</f>
        <v>524256.67600000004</v>
      </c>
      <c r="D49" s="27">
        <f t="shared" ref="D49:H49" si="32">SUBTOTAL(9,D19:D48)</f>
        <v>326746.38656966464</v>
      </c>
      <c r="E49" s="27">
        <f t="shared" si="32"/>
        <v>197510.28943033531</v>
      </c>
      <c r="F49" s="145">
        <f t="shared" si="32"/>
        <v>524256.67600000004</v>
      </c>
      <c r="G49" s="59">
        <f t="shared" si="32"/>
        <v>524256.67600000004</v>
      </c>
      <c r="H49" s="21">
        <f t="shared" si="32"/>
        <v>197510.28943033531</v>
      </c>
      <c r="I49" s="222"/>
      <c r="J49" s="320">
        <f t="shared" ref="J49:L49" si="33">SUBTOTAL(9,J19:J48)</f>
        <v>61830083.853552334</v>
      </c>
      <c r="K49" s="89">
        <f t="shared" si="33"/>
        <v>0.99999999999999989</v>
      </c>
      <c r="L49" s="320">
        <f t="shared" si="33"/>
        <v>30879210.292259946</v>
      </c>
    </row>
    <row r="50" spans="1:12" x14ac:dyDescent="0.25">
      <c r="A50" s="38"/>
      <c r="B50" s="39"/>
      <c r="C50" s="38"/>
      <c r="D50" s="35"/>
      <c r="E50" s="35"/>
      <c r="F50" s="39"/>
      <c r="G50" s="210"/>
      <c r="H50" s="184"/>
      <c r="I50" s="224"/>
      <c r="J50" s="324"/>
      <c r="K50" s="65"/>
      <c r="L50" s="324"/>
    </row>
    <row r="51" spans="1:12" ht="15.75" thickBot="1" x14ac:dyDescent="0.3">
      <c r="A51" s="57" t="str">
        <f>'Sommaire exécutif'!A50</f>
        <v>TOTAL</v>
      </c>
      <c r="B51" s="53"/>
      <c r="C51" s="62">
        <f>SUBTOTAL(9,C10:C49)</f>
        <v>622392.90399999998</v>
      </c>
      <c r="D51" s="25">
        <f t="shared" ref="D51:H51" si="34">SUBTOTAL(9,D10:D49)</f>
        <v>404394.7324863039</v>
      </c>
      <c r="E51" s="25">
        <f t="shared" si="34"/>
        <v>217998.17151369603</v>
      </c>
      <c r="F51" s="31">
        <f t="shared" si="34"/>
        <v>622392.90399999998</v>
      </c>
      <c r="G51" s="211">
        <f t="shared" si="34"/>
        <v>622392.90399999998</v>
      </c>
      <c r="H51" s="217">
        <f t="shared" si="34"/>
        <v>217998.17151369603</v>
      </c>
      <c r="I51" s="225"/>
      <c r="J51" s="325">
        <f>SUBTOTAL(9,J10:J49)</f>
        <v>64777607.843902655</v>
      </c>
      <c r="K51" s="85"/>
      <c r="L51" s="325">
        <f>SUBTOTAL(9,L10:L49)</f>
        <v>39659425.306679994</v>
      </c>
    </row>
    <row r="52" spans="1:12" ht="15.75" thickTop="1" x14ac:dyDescent="0.25">
      <c r="A52" s="38"/>
      <c r="B52" s="35"/>
      <c r="G52" s="37"/>
      <c r="H52" s="37"/>
      <c r="I52" s="131"/>
      <c r="J52" s="131"/>
      <c r="K52" s="37"/>
      <c r="L52" s="328"/>
    </row>
    <row r="53" spans="1:12" x14ac:dyDescent="0.25">
      <c r="A53" s="42" t="str">
        <f>'Facteur 1'!$A$53</f>
        <v>Allocation des coûts du facteur par catégorie</v>
      </c>
      <c r="B53" s="95"/>
      <c r="C53" s="94"/>
      <c r="D53" s="94"/>
      <c r="E53" s="94"/>
      <c r="F53" s="94"/>
      <c r="G53" s="94"/>
      <c r="H53" s="94"/>
      <c r="I53" s="132"/>
      <c r="J53" s="132"/>
      <c r="K53" s="94"/>
      <c r="L53" s="329"/>
    </row>
    <row r="54" spans="1:12" x14ac:dyDescent="0.25">
      <c r="A54" s="98" t="str">
        <f>'Facteur 1'!$A$54</f>
        <v>Imprimés</v>
      </c>
      <c r="B54" s="96"/>
      <c r="C54" s="93"/>
      <c r="D54" s="93"/>
      <c r="E54" s="93"/>
      <c r="F54" s="93"/>
      <c r="G54" s="93"/>
      <c r="H54" s="93"/>
      <c r="I54" s="133"/>
      <c r="J54" s="133"/>
      <c r="K54" s="93"/>
      <c r="L54" s="330">
        <f>'Coûts nets'!$G51*$G$8</f>
        <v>8780215.014420066</v>
      </c>
    </row>
    <row r="55" spans="1:12" x14ac:dyDescent="0.25">
      <c r="A55" s="99" t="str">
        <f>'Facteur 1'!$A$55</f>
        <v>Contenants et emballages</v>
      </c>
      <c r="B55" s="49"/>
      <c r="C55" s="54"/>
      <c r="D55" s="54"/>
      <c r="E55" s="54"/>
      <c r="F55" s="54"/>
      <c r="G55" s="54"/>
      <c r="H55" s="54"/>
      <c r="I55" s="134"/>
      <c r="J55" s="134"/>
      <c r="K55" s="54"/>
      <c r="L55" s="331">
        <f>'Coûts nets'!$G52*$G$8</f>
        <v>30879210.292259939</v>
      </c>
    </row>
  </sheetData>
  <sheetProtection algorithmName="SHA-512" hashValue="Yx54M0+QfNQKK1xQ38VcLkTFHoi38DW/SNFiOjDQ45elNUEHyU0EXwjfvE+cqgTxS+SpuZq5ym+WlfdDa6XEEA==" saltValue="XeSq7v44nUab3FLjQn8aHw==" spinCount="100000" sheet="1" objects="1" scenarios="1" selectLockedCells="1"/>
  <mergeCells count="2">
    <mergeCell ref="C6:F6"/>
    <mergeCell ref="G6:L6"/>
  </mergeCells>
  <pageMargins left="0.7" right="0.7" top="0.75" bottom="0.75" header="0.3" footer="0.3"/>
  <pageSetup scale="43" fitToHeight="0" orientation="landscape" r:id="rId1"/>
  <colBreaks count="1" manualBreakCount="1">
    <brk id="7" max="50" man="1"/>
  </colBreaks>
  <ignoredErrors>
    <ignoredError sqref="I17:L18 J19:L25 J50:L50 K51" evalError="1"/>
    <ignoredError sqref="J45:L46" evalError="1" formula="1"/>
    <ignoredError sqref="C34:L37 I26 C45:I46 C27:L32 C39:L40 I38 C42:L43 I41 I44 I48" formula="1"/>
  </ignoredErrors>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6">
    <tabColor rgb="FFFFC000"/>
    <pageSetUpPr fitToPage="1"/>
  </sheetPr>
  <dimension ref="A1:I52"/>
  <sheetViews>
    <sheetView showGridLines="0" zoomScale="80" zoomScaleNormal="80" zoomScaleSheetLayoutView="80" workbookViewId="0">
      <pane xSplit="2" ySplit="7" topLeftCell="C8" activePane="bottomRight" state="frozen"/>
      <selection pane="topRight" activeCell="C1" sqref="C1"/>
      <selection pane="bottomLeft" activeCell="A8" sqref="A8"/>
      <selection pane="bottomRight" activeCell="F49" sqref="F49"/>
    </sheetView>
  </sheetViews>
  <sheetFormatPr baseColWidth="10" defaultColWidth="13.42578125" defaultRowHeight="15" x14ac:dyDescent="0.25"/>
  <cols>
    <col min="1" max="1" width="26.5703125" customWidth="1"/>
    <col min="2" max="2" width="74.7109375" customWidth="1"/>
    <col min="3" max="3" width="16.5703125" bestFit="1" customWidth="1"/>
    <col min="4" max="4" width="19" customWidth="1"/>
    <col min="5" max="5" width="17.42578125" customWidth="1"/>
    <col min="6" max="6" width="17.42578125" bestFit="1" customWidth="1"/>
    <col min="7" max="7" width="22" bestFit="1" customWidth="1"/>
  </cols>
  <sheetData>
    <row r="1" spans="1:9" s="156" customFormat="1" ht="15.75" thickBot="1" x14ac:dyDescent="0.3">
      <c r="A1" s="4" t="s">
        <v>111</v>
      </c>
      <c r="B1" s="36"/>
    </row>
    <row r="2" spans="1:9" ht="6.75" customHeight="1" thickBot="1" x14ac:dyDescent="0.3"/>
    <row r="3" spans="1:9" ht="18.75" thickBot="1" x14ac:dyDescent="0.3">
      <c r="A3" s="91" t="str">
        <f>Paramètres!B4</f>
        <v>Tarif</v>
      </c>
      <c r="B3" s="242">
        <f>AnnéeTarif</f>
        <v>2021</v>
      </c>
    </row>
    <row r="4" spans="1:9" ht="18.75" thickBot="1" x14ac:dyDescent="0.3">
      <c r="A4" s="91" t="str">
        <f>Paramètres!B5</f>
        <v>Scénario</v>
      </c>
      <c r="B4" s="242" t="str">
        <f>Paramètres!C5</f>
        <v xml:space="preserve">Projet de tarif </v>
      </c>
    </row>
    <row r="5" spans="1:9" ht="18.75" thickBot="1" x14ac:dyDescent="0.3">
      <c r="A5" s="91" t="str">
        <f>Paramètres!B6</f>
        <v>Année de référence</v>
      </c>
      <c r="B5" s="92">
        <f>AnnéeRéf</f>
        <v>2020</v>
      </c>
    </row>
    <row r="6" spans="1:9" ht="15" customHeight="1" thickBot="1" x14ac:dyDescent="0.3">
      <c r="C6" s="670" t="s">
        <v>111</v>
      </c>
      <c r="D6" s="671"/>
      <c r="E6" s="671"/>
      <c r="F6" s="671"/>
      <c r="G6" s="671"/>
    </row>
    <row r="7" spans="1:9" ht="45" x14ac:dyDescent="0.25">
      <c r="A7" s="42" t="str">
        <f>'Sommaire exécutif'!A7</f>
        <v>CATÉGORIE</v>
      </c>
      <c r="B7" s="9" t="str">
        <f>'Sommaire exécutif'!B7</f>
        <v>Matière</v>
      </c>
      <c r="C7" s="249" t="s">
        <v>89</v>
      </c>
      <c r="D7" s="248" t="s">
        <v>169</v>
      </c>
      <c r="E7" s="248" t="s">
        <v>170</v>
      </c>
      <c r="F7" s="248" t="s">
        <v>109</v>
      </c>
      <c r="G7" s="248" t="s">
        <v>110</v>
      </c>
    </row>
    <row r="8" spans="1:9" x14ac:dyDescent="0.25">
      <c r="A8" s="70"/>
      <c r="B8" s="72"/>
      <c r="C8" s="70"/>
      <c r="D8" s="71"/>
      <c r="E8" s="71"/>
      <c r="F8" s="71"/>
      <c r="G8" s="71"/>
    </row>
    <row r="9" spans="1:9" x14ac:dyDescent="0.25">
      <c r="A9" s="43" t="str">
        <f>'Sommaire exécutif'!A8</f>
        <v>IMPRIMÉS</v>
      </c>
      <c r="B9" s="11"/>
      <c r="C9" s="107"/>
      <c r="D9" s="108"/>
      <c r="E9" s="11"/>
      <c r="F9" s="108"/>
      <c r="G9" s="108"/>
    </row>
    <row r="10" spans="1:9" x14ac:dyDescent="0.25">
      <c r="A10" s="38"/>
      <c r="B10" s="37" t="str">
        <f>INDEX(ListeMatières,1)</f>
        <v>Encarts et circulaires imprimés sur du papier journal</v>
      </c>
      <c r="C10" s="103">
        <f>INDEX(tblMatières[Frais d''étude],MATCH($B10,tblMatières[Matière],0))</f>
        <v>0</v>
      </c>
      <c r="D10" s="48">
        <f>INDEX(tblMatières[Quantité déclarée (tonnes)],MATCH($B10,tblMatières[Matière],0))</f>
        <v>65368.142999999996</v>
      </c>
      <c r="E10" s="141">
        <f>INDEX(tblMatières[Nombre déclarations],MATCH($B10,tblMatières[Matière],0))</f>
        <v>133</v>
      </c>
      <c r="F10" s="295">
        <f t="shared" ref="F10:F15" si="0">D10/$D$16 * $E$16/$E$51 * FraisGestionImputés</f>
        <v>872852.03538122936</v>
      </c>
      <c r="G10" s="567">
        <f t="shared" ref="G10:G15" si="1">C10+F10</f>
        <v>872852.03538122936</v>
      </c>
      <c r="I10" s="443"/>
    </row>
    <row r="11" spans="1:9" x14ac:dyDescent="0.25">
      <c r="A11" s="38"/>
      <c r="B11" s="37" t="str">
        <f>INDEX(ListeMatières,2)</f>
        <v>Catalogues et publications</v>
      </c>
      <c r="C11" s="103">
        <f>INDEX(tblMatières[Frais d''étude],MATCH($B11,tblMatières[Matière],0))</f>
        <v>0</v>
      </c>
      <c r="D11" s="48">
        <f>INDEX(tblMatières[Quantité déclarée (tonnes)],MATCH($B11,tblMatières[Matière],0))</f>
        <v>5387.2479999999996</v>
      </c>
      <c r="E11" s="141">
        <f>INDEX(tblMatières[Nombre déclarations],MATCH($B11,tblMatières[Matière],0))</f>
        <v>167</v>
      </c>
      <c r="F11" s="295">
        <f t="shared" si="0"/>
        <v>71935.199106137326</v>
      </c>
      <c r="G11" s="567">
        <f t="shared" si="1"/>
        <v>71935.199106137326</v>
      </c>
      <c r="I11" s="443"/>
    </row>
    <row r="12" spans="1:9" x14ac:dyDescent="0.25">
      <c r="A12" s="38"/>
      <c r="B12" s="37" t="str">
        <f>INDEX(ListeMatières,3)</f>
        <v>Magazines</v>
      </c>
      <c r="C12" s="103">
        <f>INDEX(tblMatières[Frais d''étude],MATCH($B12,tblMatières[Matière],0))</f>
        <v>0</v>
      </c>
      <c r="D12" s="48">
        <f>INDEX(tblMatières[Quantité déclarée (tonnes)],MATCH($B12,tblMatières[Matière],0))</f>
        <v>3004.6579999999999</v>
      </c>
      <c r="E12" s="141">
        <f>INDEX(tblMatières[Nombre déclarations],MATCH($B12,tblMatières[Matière],0))</f>
        <v>64</v>
      </c>
      <c r="F12" s="295">
        <f t="shared" si="0"/>
        <v>40120.794787217586</v>
      </c>
      <c r="G12" s="567">
        <f t="shared" si="1"/>
        <v>40120.794787217586</v>
      </c>
      <c r="I12" s="443"/>
    </row>
    <row r="13" spans="1:9" x14ac:dyDescent="0.25">
      <c r="A13" s="38"/>
      <c r="B13" s="37" t="str">
        <f>INDEX(ListeMatières,4)</f>
        <v>Annuaires téléphoniques</v>
      </c>
      <c r="C13" s="103">
        <f>INDEX(tblMatières[Frais d''étude],MATCH($B13,tblMatières[Matière],0))</f>
        <v>0</v>
      </c>
      <c r="D13" s="48">
        <f>INDEX(tblMatières[Quantité déclarée (tonnes)],MATCH($B13,tblMatières[Matière],0))</f>
        <v>320.28500000000003</v>
      </c>
      <c r="E13" s="141">
        <f>INDEX(tblMatières[Nombre déclarations],MATCH($B13,tblMatières[Matière],0))</f>
        <v>2</v>
      </c>
      <c r="F13" s="295">
        <f t="shared" si="0"/>
        <v>4276.722594859044</v>
      </c>
      <c r="G13" s="567">
        <f t="shared" si="1"/>
        <v>4276.722594859044</v>
      </c>
      <c r="I13" s="443"/>
    </row>
    <row r="14" spans="1:9" x14ac:dyDescent="0.25">
      <c r="A14" s="38"/>
      <c r="B14" s="37" t="str">
        <f>INDEX(ListeMatières,5)</f>
        <v>Papier à usage général</v>
      </c>
      <c r="C14" s="103">
        <f>INDEX(tblMatières[Frais d''étude],MATCH($B14,tblMatières[Matière],0))</f>
        <v>0</v>
      </c>
      <c r="D14" s="48">
        <f>INDEX(tblMatières[Quantité déclarée (tonnes)],MATCH($B14,tblMatières[Matière],0))</f>
        <v>5107.7979999999998</v>
      </c>
      <c r="E14" s="141">
        <f>INDEX(tblMatières[Nombre déclarations],MATCH($B14,tblMatières[Matière],0))</f>
        <v>124</v>
      </c>
      <c r="F14" s="295">
        <f t="shared" si="0"/>
        <v>68203.740782664929</v>
      </c>
      <c r="G14" s="567">
        <f t="shared" si="1"/>
        <v>68203.740782664929</v>
      </c>
      <c r="I14" s="443"/>
    </row>
    <row r="15" spans="1:9" x14ac:dyDescent="0.25">
      <c r="A15" s="38"/>
      <c r="B15" s="37" t="str">
        <f>INDEX(ListeMatières,6)</f>
        <v>Autres imprimés</v>
      </c>
      <c r="C15" s="103">
        <f>INDEX(tblMatières[Frais d''étude],MATCH($B15,tblMatières[Matière],0))</f>
        <v>0</v>
      </c>
      <c r="D15" s="48">
        <f>INDEX(tblMatières[Quantité déclarée (tonnes)],MATCH($B15,tblMatières[Matière],0))</f>
        <v>18948.096000000001</v>
      </c>
      <c r="E15" s="141">
        <f>INDEX(tblMatières[Nombre déclarations],MATCH($B15,tblMatières[Matière],0))</f>
        <v>928</v>
      </c>
      <c r="F15" s="295">
        <f t="shared" si="0"/>
        <v>253011.38140330731</v>
      </c>
      <c r="G15" s="567">
        <f t="shared" si="1"/>
        <v>253011.38140330731</v>
      </c>
      <c r="I15" s="443"/>
    </row>
    <row r="16" spans="1:9" ht="15.75" thickBot="1" x14ac:dyDescent="0.3">
      <c r="A16" s="55" t="str">
        <f>'Sommaire exécutif'!A15</f>
        <v>IMPRIMÉS TOTAL</v>
      </c>
      <c r="B16" s="20"/>
      <c r="C16" s="105">
        <f>SUBTOTAL(9,C10:C15)</f>
        <v>0</v>
      </c>
      <c r="D16" s="21">
        <f>SUBTOTAL(9,D10:D15)</f>
        <v>98136.228000000003</v>
      </c>
      <c r="E16" s="59">
        <f t="shared" ref="E16:G16" si="2">SUBTOTAL(9,E10:E15)</f>
        <v>1418</v>
      </c>
      <c r="F16" s="297">
        <f t="shared" si="2"/>
        <v>1310399.8740554154</v>
      </c>
      <c r="G16" s="297">
        <f t="shared" si="2"/>
        <v>1310399.8740554154</v>
      </c>
      <c r="I16" s="429"/>
    </row>
    <row r="17" spans="1:9" x14ac:dyDescent="0.25">
      <c r="A17" s="38"/>
      <c r="B17" s="35"/>
      <c r="C17" s="103"/>
      <c r="D17" s="141"/>
      <c r="E17" s="37"/>
      <c r="F17" s="295"/>
      <c r="G17" s="295"/>
    </row>
    <row r="18" spans="1:9" x14ac:dyDescent="0.25">
      <c r="A18" s="43" t="str">
        <f>'Sommaire exécutif'!A17</f>
        <v>CONTENANTS ET EMBALLAGES</v>
      </c>
      <c r="B18" s="11"/>
      <c r="C18" s="107"/>
      <c r="D18" s="216"/>
      <c r="E18" s="11"/>
      <c r="F18" s="302"/>
      <c r="G18" s="302"/>
    </row>
    <row r="19" spans="1:9" x14ac:dyDescent="0.25">
      <c r="A19" s="46" t="str">
        <f>'Sommaire exécutif'!A18</f>
        <v>Papier et carton</v>
      </c>
      <c r="B19" s="37" t="str">
        <f>INDEX(ListeMatières,7)</f>
        <v>Carton ondulé</v>
      </c>
      <c r="C19" s="103">
        <f>INDEX(tblMatières[Frais d''étude],MATCH($B19,tblMatières[Matière],0))</f>
        <v>0</v>
      </c>
      <c r="D19" s="48">
        <f>INDEX(tblMatières[Quantité déclarée (tonnes)],MATCH($B19,tblMatières[Matière],0))</f>
        <v>58408.389000000003</v>
      </c>
      <c r="E19" s="141">
        <f>INDEX(tblMatières[Nombre déclarations],MATCH($B19,tblMatières[Matière],0))</f>
        <v>788</v>
      </c>
      <c r="F19" s="295">
        <f t="shared" ref="F19:F25" si="3">D19/D$26 * $E$26/$E$51 * FraisGestionImputés</f>
        <v>768131.04167098377</v>
      </c>
      <c r="G19" s="567">
        <f t="shared" ref="G19:G25" si="4">C19+F19</f>
        <v>768131.04167098377</v>
      </c>
      <c r="I19" s="429"/>
    </row>
    <row r="20" spans="1:9" x14ac:dyDescent="0.25">
      <c r="A20" s="46"/>
      <c r="B20" s="37" t="str">
        <f>INDEX(ListeMatières,8)</f>
        <v>Sacs de papier kraft</v>
      </c>
      <c r="C20" s="103">
        <f>INDEX(tblMatières[Frais d''étude],MATCH($B20,tblMatières[Matière],0))</f>
        <v>0</v>
      </c>
      <c r="D20" s="48">
        <f>INDEX(tblMatières[Quantité déclarée (tonnes)],MATCH($B20,tblMatières[Matière],0))</f>
        <v>3906.12</v>
      </c>
      <c r="E20" s="141">
        <f>INDEX(tblMatières[Nombre déclarations],MATCH($B20,tblMatières[Matière],0))</f>
        <v>111</v>
      </c>
      <c r="F20" s="295">
        <f t="shared" si="3"/>
        <v>51369.539134042243</v>
      </c>
      <c r="G20" s="567">
        <f t="shared" si="4"/>
        <v>51369.539134042243</v>
      </c>
      <c r="I20" s="429"/>
    </row>
    <row r="21" spans="1:9" x14ac:dyDescent="0.25">
      <c r="A21" s="46"/>
      <c r="B21" s="37" t="str">
        <f>INDEX(ListeMatières,9)</f>
        <v>Emballages de papier kraft</v>
      </c>
      <c r="C21" s="103">
        <f>INDEX(tblMatières[Frais d''étude],MATCH($B21,tblMatières[Matière],0))</f>
        <v>0</v>
      </c>
      <c r="D21" s="48">
        <f>INDEX(tblMatières[Quantité déclarée (tonnes)],MATCH($B21,tblMatières[Matière],0))</f>
        <v>2207.5160000000001</v>
      </c>
      <c r="E21" s="141">
        <f>INDEX(tblMatières[Nombre déclarations],MATCH($B21,tblMatières[Matière],0))</f>
        <v>76</v>
      </c>
      <c r="F21" s="295">
        <f t="shared" si="3"/>
        <v>29031.13052108599</v>
      </c>
      <c r="G21" s="567">
        <f t="shared" si="4"/>
        <v>29031.13052108599</v>
      </c>
      <c r="I21" s="429"/>
    </row>
    <row r="22" spans="1:9" x14ac:dyDescent="0.25">
      <c r="A22" s="46"/>
      <c r="B22" s="37" t="str">
        <f>INDEX(ListeMatières,10)</f>
        <v>Carton plat et autres emballages de papier</v>
      </c>
      <c r="C22" s="103">
        <f>INDEX(tblMatières[Frais d''étude],MATCH($B22,tblMatières[Matière],0))</f>
        <v>0</v>
      </c>
      <c r="D22" s="48">
        <f>INDEX(tblMatières[Quantité déclarée (tonnes)],MATCH($B22,tblMatières[Matière],0))</f>
        <v>92654.394</v>
      </c>
      <c r="E22" s="141">
        <f>INDEX(tblMatières[Nombre déclarations],MATCH($B22,tblMatières[Matière],0))</f>
        <v>1048</v>
      </c>
      <c r="F22" s="295">
        <f t="shared" si="3"/>
        <v>1218501.6124757994</v>
      </c>
      <c r="G22" s="567">
        <f t="shared" si="4"/>
        <v>1218501.6124757994</v>
      </c>
      <c r="I22" s="429"/>
    </row>
    <row r="23" spans="1:9" x14ac:dyDescent="0.25">
      <c r="A23" s="46"/>
      <c r="B23" s="37" t="str">
        <f>INDEX(ListeMatières,11)</f>
        <v>Contenants à pignon</v>
      </c>
      <c r="C23" s="103">
        <f>INDEX(tblMatières[Frais d''étude],MATCH($B23,tblMatières[Matière],0))</f>
        <v>0</v>
      </c>
      <c r="D23" s="48">
        <f>INDEX(tblMatières[Quantité déclarée (tonnes)],MATCH($B23,tblMatières[Matière],0))</f>
        <v>9680.7970000000005</v>
      </c>
      <c r="E23" s="141">
        <f>INDEX(tblMatières[Nombre déclarations],MATCH($B23,tblMatières[Matière],0))</f>
        <v>62</v>
      </c>
      <c r="F23" s="295">
        <f t="shared" si="3"/>
        <v>127312.54552861123</v>
      </c>
      <c r="G23" s="567">
        <f t="shared" si="4"/>
        <v>127312.54552861123</v>
      </c>
      <c r="I23" s="429"/>
    </row>
    <row r="24" spans="1:9" x14ac:dyDescent="0.25">
      <c r="A24" s="46"/>
      <c r="B24" s="37" t="str">
        <f>INDEX(ListeMatières,12)</f>
        <v>Laminés de papier</v>
      </c>
      <c r="C24" s="103">
        <f>INDEX(tblMatières[Frais d''étude],MATCH($B24,tblMatières[Matière],0))</f>
        <v>0</v>
      </c>
      <c r="D24" s="48">
        <f>INDEX(tblMatières[Quantité déclarée (tonnes)],MATCH($B24,tblMatières[Matière],0))</f>
        <v>13115.505999999999</v>
      </c>
      <c r="E24" s="141">
        <f>INDEX(tblMatières[Nombre déclarations],MATCH($B24,tblMatières[Matière],0))</f>
        <v>497</v>
      </c>
      <c r="F24" s="295">
        <f t="shared" si="3"/>
        <v>172482.53989374771</v>
      </c>
      <c r="G24" s="567">
        <f t="shared" si="4"/>
        <v>172482.53989374771</v>
      </c>
      <c r="I24" s="429"/>
    </row>
    <row r="25" spans="1:9" x14ac:dyDescent="0.25">
      <c r="A25" s="46"/>
      <c r="B25" s="37" t="str">
        <f>INDEX(ListeMatières,13)</f>
        <v>Contenants aseptiques</v>
      </c>
      <c r="C25" s="103">
        <f>INDEX(tblMatières[Frais d''étude],MATCH($B25,tblMatières[Matière],0))</f>
        <v>0</v>
      </c>
      <c r="D25" s="48">
        <f>INDEX(tblMatières[Quantité déclarée (tonnes)],MATCH($B25,tblMatières[Matière],0))</f>
        <v>5539.04</v>
      </c>
      <c r="E25" s="141">
        <f>INDEX(tblMatières[Nombre déclarations],MATCH($B25,tblMatières[Matière],0))</f>
        <v>58</v>
      </c>
      <c r="F25" s="295">
        <f t="shared" si="3"/>
        <v>72844.134856334509</v>
      </c>
      <c r="G25" s="567">
        <f t="shared" si="4"/>
        <v>72844.134856334509</v>
      </c>
      <c r="I25" s="429"/>
    </row>
    <row r="26" spans="1:9" x14ac:dyDescent="0.25">
      <c r="A26" s="43" t="str">
        <f>'Sommaire exécutif'!A25</f>
        <v>Papier et carton TOTAL</v>
      </c>
      <c r="B26" s="10"/>
      <c r="C26" s="109">
        <f>SUBTOTAL(9,C19:C25)</f>
        <v>0</v>
      </c>
      <c r="D26" s="22">
        <f t="shared" ref="D26:G26" si="5">SUBTOTAL(9,D19:D25)</f>
        <v>185511.76199999999</v>
      </c>
      <c r="E26" s="60">
        <f t="shared" si="5"/>
        <v>2640</v>
      </c>
      <c r="F26" s="298">
        <f t="shared" si="5"/>
        <v>2439672.5440806048</v>
      </c>
      <c r="G26" s="298">
        <f t="shared" si="5"/>
        <v>2439672.5440806048</v>
      </c>
      <c r="I26" s="429"/>
    </row>
    <row r="27" spans="1:9" x14ac:dyDescent="0.25">
      <c r="A27" s="46" t="str">
        <f>'Sommaire exécutif'!A26</f>
        <v>Plastique</v>
      </c>
      <c r="B27" s="37" t="str">
        <f>INDEX(ListeMatières,14)</f>
        <v>Bouteilles PET</v>
      </c>
      <c r="C27" s="103">
        <f>INDEX(tblMatières[Frais d''étude],MATCH($B27,tblMatières[Matière],0))</f>
        <v>0</v>
      </c>
      <c r="D27" s="48">
        <f>INDEX(tblMatières[Quantité déclarée (tonnes)],MATCH($B27,tblMatières[Matière],0))</f>
        <v>31023.692999999999</v>
      </c>
      <c r="E27" s="141">
        <f>INDEX(tblMatières[Nombre déclarations],MATCH($B27,tblMatières[Matière],0))</f>
        <v>284</v>
      </c>
      <c r="F27" s="295">
        <f t="shared" ref="F27:F37" si="6">D27/D$38 * $E$38/$E$51 * FraisGestionImputés</f>
        <v>778630.99350354599</v>
      </c>
      <c r="G27" s="567">
        <f t="shared" ref="G27:G37" si="7">C27+F27</f>
        <v>778630.99350354599</v>
      </c>
      <c r="I27" s="429"/>
    </row>
    <row r="28" spans="1:9" x14ac:dyDescent="0.25">
      <c r="A28" s="38"/>
      <c r="B28" s="37" t="str">
        <f>INDEX(ListeMatières,15)</f>
        <v>Bouteilles, tous formats, et contenants &lt; 5l. HDPE</v>
      </c>
      <c r="C28" s="103">
        <f>INDEX(tblMatières[Frais d''étude],MATCH($B28,tblMatières[Matière],0))</f>
        <v>0</v>
      </c>
      <c r="D28" s="48">
        <f>INDEX(tblMatières[Quantité déclarée (tonnes)],MATCH($B28,tblMatières[Matière],0))</f>
        <v>20311.441999999999</v>
      </c>
      <c r="E28" s="141">
        <f>INDEX(tblMatières[Nombre déclarations],MATCH($B28,tblMatières[Matière],0))</f>
        <v>392</v>
      </c>
      <c r="F28" s="295">
        <f t="shared" si="6"/>
        <v>509775.48881590762</v>
      </c>
      <c r="G28" s="567">
        <f t="shared" si="7"/>
        <v>509775.48881590762</v>
      </c>
      <c r="I28" s="429"/>
    </row>
    <row r="29" spans="1:9" x14ac:dyDescent="0.25">
      <c r="A29" s="38"/>
      <c r="B29" s="37" t="str">
        <f>INDEX(ListeMatières,16)</f>
        <v>Plastiques stratifiés</v>
      </c>
      <c r="C29" s="103">
        <f>INDEX(tblMatières[Frais d''étude],MATCH($B29,tblMatières[Matière],0))</f>
        <v>0</v>
      </c>
      <c r="D29" s="48">
        <f>INDEX(tblMatières[Quantité déclarée (tonnes)],MATCH($B29,tblMatières[Matière],0))</f>
        <v>15885.589</v>
      </c>
      <c r="E29" s="141">
        <f>INDEX(tblMatières[Nombre déclarations],MATCH($B29,tblMatières[Matière],0))</f>
        <v>561</v>
      </c>
      <c r="F29" s="295">
        <f t="shared" si="6"/>
        <v>398695.66609813349</v>
      </c>
      <c r="G29" s="567">
        <f t="shared" si="7"/>
        <v>398695.66609813349</v>
      </c>
      <c r="I29" s="429"/>
    </row>
    <row r="30" spans="1:9" x14ac:dyDescent="0.25">
      <c r="A30" s="38"/>
      <c r="B30" s="37" t="str">
        <f>INDEX(ListeMatières,17)</f>
        <v>Pellicules HDPE et LDPE</v>
      </c>
      <c r="C30" s="103">
        <f>INDEX(tblMatières[Frais d''étude],MATCH($B30,tblMatières[Matière],0))</f>
        <v>0</v>
      </c>
      <c r="D30" s="48">
        <f>INDEX(tblMatières[Quantité déclarée (tonnes)],MATCH($B30,tblMatières[Matière],0))</f>
        <v>20483.853999999999</v>
      </c>
      <c r="E30" s="141">
        <f>INDEX(tblMatières[Nombre déclarations],MATCH($B30,tblMatières[Matière],0))</f>
        <v>806</v>
      </c>
      <c r="F30" s="295">
        <f t="shared" si="6"/>
        <v>514102.67600319494</v>
      </c>
      <c r="G30" s="567">
        <f t="shared" si="7"/>
        <v>514102.67600319494</v>
      </c>
      <c r="I30" s="429"/>
    </row>
    <row r="31" spans="1:9" x14ac:dyDescent="0.25">
      <c r="A31" s="38"/>
      <c r="B31" s="37" t="str">
        <f>INDEX(ListeMatières,18)</f>
        <v>Sacs d'emplettes de pellicules HDPE et LDPE</v>
      </c>
      <c r="C31" s="103">
        <f>INDEX(tblMatières[Frais d''étude],MATCH($B31,tblMatières[Matière],0))</f>
        <v>0</v>
      </c>
      <c r="D31" s="48">
        <f>INDEX(tblMatières[Quantité déclarée (tonnes)],MATCH($B31,tblMatières[Matière],0))</f>
        <v>10065.867</v>
      </c>
      <c r="E31" s="141">
        <f>INDEX(tblMatières[Nombre déclarations],MATCH($B31,tblMatières[Matière],0))</f>
        <v>218</v>
      </c>
      <c r="F31" s="295">
        <f t="shared" si="6"/>
        <v>252632.59350473067</v>
      </c>
      <c r="G31" s="567">
        <f t="shared" si="7"/>
        <v>252632.59350473067</v>
      </c>
      <c r="I31" s="429"/>
    </row>
    <row r="32" spans="1:9" x14ac:dyDescent="0.25">
      <c r="A32" s="38"/>
      <c r="B32" s="37" t="str">
        <f>INDEX(ListeMatières,19)</f>
        <v>Polystyrène expansé alimentaire</v>
      </c>
      <c r="C32" s="103">
        <f>INDEX(tblMatières[Frais d''étude],MATCH($B32,tblMatières[Matière],0))</f>
        <v>0</v>
      </c>
      <c r="D32" s="48">
        <f>INDEX(tblMatières[Quantité déclarée (tonnes)],MATCH($B32,tblMatières[Matière],0))</f>
        <v>3369.3789999999999</v>
      </c>
      <c r="E32" s="141">
        <f>INDEX(tblMatières[Nombre déclarations],MATCH($B32,tblMatières[Matière],0))</f>
        <v>132</v>
      </c>
      <c r="F32" s="295">
        <f t="shared" si="6"/>
        <v>84564.494570649098</v>
      </c>
      <c r="G32" s="567">
        <f t="shared" si="7"/>
        <v>84564.494570649098</v>
      </c>
      <c r="I32" s="429"/>
    </row>
    <row r="33" spans="1:9" x14ac:dyDescent="0.25">
      <c r="A33" s="259"/>
      <c r="B33" s="37" t="str">
        <f>INDEX(ListeMatières,20)</f>
        <v>Polystyrène expansé de protection</v>
      </c>
      <c r="C33" s="103">
        <f>INDEX(tblMatières[Frais d''étude],MATCH($B33,tblMatières[Matière],0))</f>
        <v>0</v>
      </c>
      <c r="D33" s="48">
        <f>INDEX(tblMatières[Quantité déclarée (tonnes)],MATCH($B33,tblMatières[Matière],0))</f>
        <v>1085.0350000000001</v>
      </c>
      <c r="E33" s="141">
        <f>INDEX(tblMatières[Nombre déclarations],MATCH($B33,tblMatières[Matière],0))</f>
        <v>249</v>
      </c>
      <c r="F33" s="295">
        <f t="shared" si="6"/>
        <v>27232.150602964</v>
      </c>
      <c r="G33" s="567">
        <f>C33+F33</f>
        <v>27232.150602964</v>
      </c>
      <c r="I33" s="429"/>
    </row>
    <row r="34" spans="1:9" x14ac:dyDescent="0.25">
      <c r="A34" s="38"/>
      <c r="B34" s="37" t="str">
        <f>INDEX(ListeMatières,21)</f>
        <v>Polystyrène non expansé</v>
      </c>
      <c r="C34" s="103">
        <f>INDEX(tblMatières[Frais d''étude],MATCH($B34,tblMatières[Matière],0))</f>
        <v>0</v>
      </c>
      <c r="D34" s="48">
        <f>INDEX(tblMatières[Quantité déclarée (tonnes)],MATCH($B34,tblMatières[Matière],0))</f>
        <v>4235.3710000000001</v>
      </c>
      <c r="E34" s="141">
        <f>INDEX(tblMatières[Nombre déclarations],MATCH($B34,tblMatières[Matière],0))</f>
        <v>281</v>
      </c>
      <c r="F34" s="295">
        <f t="shared" si="6"/>
        <v>106299.1156335291</v>
      </c>
      <c r="G34" s="567">
        <f t="shared" si="7"/>
        <v>106299.1156335291</v>
      </c>
      <c r="I34" s="429"/>
    </row>
    <row r="35" spans="1:9" x14ac:dyDescent="0.25">
      <c r="A35" s="38"/>
      <c r="B35" s="37" t="str">
        <f>INDEX(ListeMatières,22)</f>
        <v>Contenants de PET</v>
      </c>
      <c r="C35" s="103">
        <f>INDEX(tblMatières[Frais d''étude],MATCH($B35,tblMatières[Matière],0))</f>
        <v>0</v>
      </c>
      <c r="D35" s="48">
        <f>INDEX(tblMatières[Quantité déclarée (tonnes)],MATCH($B35,tblMatières[Matière],0))</f>
        <v>8932.5040000000008</v>
      </c>
      <c r="E35" s="141">
        <f>INDEX(tblMatières[Nombre déclarations],MATCH($B35,tblMatières[Matière],0))</f>
        <v>228</v>
      </c>
      <c r="F35" s="295">
        <f t="shared" si="6"/>
        <v>224187.5093334117</v>
      </c>
      <c r="G35" s="567">
        <f t="shared" si="7"/>
        <v>224187.5093334117</v>
      </c>
      <c r="I35" s="429"/>
    </row>
    <row r="36" spans="1:9" x14ac:dyDescent="0.25">
      <c r="A36" s="38"/>
      <c r="B36" s="37" t="str">
        <f>INDEX(ListeMatières,23)</f>
        <v>Acide polylactique (PLA) et autres plastiques dégradables</v>
      </c>
      <c r="C36" s="103">
        <f>INDEX(tblMatières[Frais d''étude],MATCH($B36,tblMatières[Matière],0))</f>
        <v>0</v>
      </c>
      <c r="D36" s="48">
        <f>INDEX(tblMatières[Quantité déclarée (tonnes)],MATCH($B36,tblMatières[Matière],0))</f>
        <v>350.81</v>
      </c>
      <c r="E36" s="141">
        <f>INDEX(tblMatières[Nombre déclarations],MATCH($B36,tblMatières[Matière],0))</f>
        <v>133</v>
      </c>
      <c r="F36" s="295">
        <f t="shared" si="6"/>
        <v>8804.6106835501178</v>
      </c>
      <c r="G36" s="567">
        <f t="shared" si="7"/>
        <v>8804.6106835501178</v>
      </c>
      <c r="I36" s="429"/>
    </row>
    <row r="37" spans="1:9" x14ac:dyDescent="0.25">
      <c r="A37" s="38"/>
      <c r="B37" s="37" t="str">
        <f>INDEX(ListeMatières,24)</f>
        <v>Autres plastiques, polymères et polyuréthane</v>
      </c>
      <c r="C37" s="103">
        <f>INDEX(tblMatières[Frais d''étude],MATCH($B37,tblMatières[Matière],0))</f>
        <v>0</v>
      </c>
      <c r="D37" s="48">
        <f>INDEX(tblMatières[Quantité déclarée (tonnes)],MATCH($B37,tblMatières[Matière],0))</f>
        <v>37245.540999999997</v>
      </c>
      <c r="E37" s="141">
        <f>INDEX(tblMatières[Nombre déclarations],MATCH($B37,tblMatières[Matière],0))</f>
        <v>871</v>
      </c>
      <c r="F37" s="295">
        <f t="shared" si="6"/>
        <v>934786.60301360814</v>
      </c>
      <c r="G37" s="567">
        <f t="shared" si="7"/>
        <v>934786.60301360814</v>
      </c>
      <c r="I37" s="429"/>
    </row>
    <row r="38" spans="1:9" x14ac:dyDescent="0.25">
      <c r="A38" s="43" t="str">
        <f>'Sommaire exécutif'!A37</f>
        <v>Plastique TOTAL</v>
      </c>
      <c r="B38" s="10"/>
      <c r="C38" s="111">
        <f>SUBTOTAL(9,C27:C37)</f>
        <v>0</v>
      </c>
      <c r="D38" s="22">
        <f t="shared" ref="D38:G38" si="8">SUBTOTAL(9,D27:D37)</f>
        <v>152989.08499999996</v>
      </c>
      <c r="E38" s="61">
        <f t="shared" si="8"/>
        <v>4155</v>
      </c>
      <c r="F38" s="298">
        <f t="shared" si="8"/>
        <v>3839711.9017632254</v>
      </c>
      <c r="G38" s="298">
        <f t="shared" si="8"/>
        <v>3839711.9017632254</v>
      </c>
      <c r="I38" s="429"/>
    </row>
    <row r="39" spans="1:9" x14ac:dyDescent="0.25">
      <c r="A39" s="46" t="str">
        <f>'Sommaire exécutif'!A38</f>
        <v>Aluminium</v>
      </c>
      <c r="B39" s="37" t="str">
        <f>INDEX(ListeMatières,25)</f>
        <v>Contenants pour aliments et breuvages en aluminium</v>
      </c>
      <c r="C39" s="103">
        <f>INDEX(tblMatières[Frais d''étude],MATCH($B39,tblMatières[Matière],0))</f>
        <v>0</v>
      </c>
      <c r="D39" s="141">
        <f>INDEX(tblMatières[Quantité déclarée (tonnes)],MATCH($B39,tblMatières[Matière],0))</f>
        <v>4037.5839999999998</v>
      </c>
      <c r="E39" s="58">
        <f>INDEX(tblMatières[Nombre déclarations],MATCH($B39,tblMatières[Matière],0))</f>
        <v>114</v>
      </c>
      <c r="F39" s="295">
        <f>D39/($D$44+$D$41) * ($E$44+$E$41)/$E$51 * FraisGestionImputés</f>
        <v>92997.130837750621</v>
      </c>
      <c r="G39" s="567">
        <f>C39+F39</f>
        <v>92997.130837750621</v>
      </c>
      <c r="I39" s="429"/>
    </row>
    <row r="40" spans="1:9" x14ac:dyDescent="0.25">
      <c r="A40" s="46"/>
      <c r="B40" s="37" t="str">
        <f>INDEX(ListeMatières,26)</f>
        <v>Autres contenants et emballages en aluminium</v>
      </c>
      <c r="C40" s="103">
        <f>INDEX(tblMatières[Frais d''étude],MATCH($B40,tblMatières[Matière],0))</f>
        <v>0</v>
      </c>
      <c r="D40" s="141">
        <f>INDEX(tblMatières[Quantité déclarée (tonnes)],MATCH($B40,tblMatières[Matière],0))</f>
        <v>3963.2570000000001</v>
      </c>
      <c r="E40" s="58">
        <f>INDEX(tblMatières[Nombre déclarations],MATCH($B40,tblMatières[Matière],0))</f>
        <v>310</v>
      </c>
      <c r="F40" s="295">
        <f>D40/($D$44+$D$41) * ($E$44+$E$41)/$E$51 * FraisGestionImputés</f>
        <v>91285.167013895189</v>
      </c>
      <c r="G40" s="567">
        <f>C40+F40</f>
        <v>91285.167013895189</v>
      </c>
      <c r="I40" s="429"/>
    </row>
    <row r="41" spans="1:9" x14ac:dyDescent="0.25">
      <c r="A41" s="43" t="str">
        <f>'Sommaire exécutif'!A40</f>
        <v>Aluminium TOTAL</v>
      </c>
      <c r="B41" s="10"/>
      <c r="C41" s="109">
        <f>SUBTOTAL(9,C39:C40)</f>
        <v>0</v>
      </c>
      <c r="D41" s="22">
        <f t="shared" ref="D41:G41" si="9">SUBTOTAL(9,D39:D40)</f>
        <v>8000.8410000000003</v>
      </c>
      <c r="E41" s="60">
        <f t="shared" si="9"/>
        <v>424</v>
      </c>
      <c r="F41" s="332">
        <f t="shared" si="9"/>
        <v>184282.2978516458</v>
      </c>
      <c r="G41" s="332">
        <f t="shared" si="9"/>
        <v>184282.2978516458</v>
      </c>
      <c r="I41" s="429"/>
    </row>
    <row r="42" spans="1:9" x14ac:dyDescent="0.25">
      <c r="A42" s="46" t="str">
        <f>'Sommaire exécutif'!A41</f>
        <v>Acier</v>
      </c>
      <c r="B42" s="37" t="str">
        <f>INDEX(ListeMatières,27)</f>
        <v>Bombes aérosol en acier</v>
      </c>
      <c r="C42" s="103">
        <f>INDEX(tblMatières[Frais d''étude],MATCH($B42,tblMatières[Matière],0))</f>
        <v>0</v>
      </c>
      <c r="D42" s="141">
        <f>INDEX(tblMatières[Quantité déclarée (tonnes)],MATCH($B42,tblMatières[Matière],0))</f>
        <v>1741.7629999999999</v>
      </c>
      <c r="E42" s="58">
        <f>INDEX(tblMatières[Nombre déclarations],MATCH($B42,tblMatières[Matière],0))</f>
        <v>147</v>
      </c>
      <c r="F42" s="295">
        <f>D42/($D$44+$D$41) * ($E$44+$E$41)/$E$51 * FraisGestionImputés</f>
        <v>40117.79361106865</v>
      </c>
      <c r="G42" s="567">
        <f>C42+F42</f>
        <v>40117.79361106865</v>
      </c>
      <c r="I42" s="429"/>
    </row>
    <row r="43" spans="1:9" x14ac:dyDescent="0.25">
      <c r="A43" s="46"/>
      <c r="B43" s="37" t="str">
        <f>INDEX(ListeMatières,28)</f>
        <v>Autres contenants en acier</v>
      </c>
      <c r="C43" s="103">
        <f>INDEX(tblMatières[Frais d''étude],MATCH($B43,tblMatières[Matière],0))</f>
        <v>0</v>
      </c>
      <c r="D43" s="141">
        <f>INDEX(tblMatières[Quantité déclarée (tonnes)],MATCH($B43,tblMatières[Matière],0))</f>
        <v>25404.03</v>
      </c>
      <c r="E43" s="58">
        <f>INDEX(tblMatières[Nombre déclarations],MATCH($B43,tblMatières[Matière],0))</f>
        <v>305</v>
      </c>
      <c r="F43" s="295">
        <f>D43/($D$44+$D$41) * ($E$44+$E$41)/$E$51 * FraisGestionImputés</f>
        <v>585127.6163458497</v>
      </c>
      <c r="G43" s="567">
        <f>C43+F43</f>
        <v>585127.6163458497</v>
      </c>
      <c r="I43" s="429"/>
    </row>
    <row r="44" spans="1:9" x14ac:dyDescent="0.25">
      <c r="A44" s="43" t="str">
        <f>'Sommaire exécutif'!A43</f>
        <v>Acier TOTAL</v>
      </c>
      <c r="B44" s="10"/>
      <c r="C44" s="109">
        <f t="shared" ref="C44:G44" si="10">SUBTOTAL(9,C42:C43)</f>
        <v>0</v>
      </c>
      <c r="D44" s="22">
        <f t="shared" si="10"/>
        <v>27145.792999999998</v>
      </c>
      <c r="E44" s="60">
        <f t="shared" si="10"/>
        <v>452</v>
      </c>
      <c r="F44" s="332">
        <f t="shared" si="10"/>
        <v>625245.40995691833</v>
      </c>
      <c r="G44" s="332">
        <f t="shared" si="10"/>
        <v>625245.40995691833</v>
      </c>
      <c r="I44" s="429"/>
    </row>
    <row r="45" spans="1:9" x14ac:dyDescent="0.25">
      <c r="A45" s="46" t="str">
        <f>'Sommaire exécutif'!A44</f>
        <v>Verre</v>
      </c>
      <c r="B45" s="37" t="str">
        <f>INDEX(ListeMatières,29)</f>
        <v>Verre clair</v>
      </c>
      <c r="C45" s="103">
        <f>INDEX(tblMatières[Frais d''étude],MATCH($B45,tblMatières[Matière],0))</f>
        <v>258289.31814834653</v>
      </c>
      <c r="D45" s="141">
        <f>INDEX(tblMatières[Quantité déclarée (tonnes)],MATCH($B45,tblMatières[Matière],0))</f>
        <v>64834.576999999997</v>
      </c>
      <c r="E45" s="58">
        <f>INDEX(tblMatières[Nombre déclarations],MATCH($B45,tblMatières[Matière],0))</f>
        <v>263</v>
      </c>
      <c r="F45" s="295">
        <f>D45/D$48 * $E$48/$E$51 * FraisGestionImputés</f>
        <v>174641.44919937957</v>
      </c>
      <c r="G45" s="567">
        <f>C45+F45</f>
        <v>432930.7673477261</v>
      </c>
      <c r="I45" s="429"/>
    </row>
    <row r="46" spans="1:9" x14ac:dyDescent="0.25">
      <c r="A46" s="46"/>
      <c r="B46" s="39" t="str">
        <f>INDEX(ListeMatières,30)</f>
        <v>Verre coloré</v>
      </c>
      <c r="C46" s="103">
        <f>INDEX(tblMatières[Frais d''étude],MATCH($B46,tblMatières[Matière],0))</f>
        <v>339009.65158190171</v>
      </c>
      <c r="D46" s="141">
        <f>INDEX(tblMatières[Quantité déclarée (tonnes)],MATCH($B46,tblMatières[Matière],0))</f>
        <v>85096.618000000002</v>
      </c>
      <c r="E46" s="58">
        <f>INDEX(tblMatières[Nombre déclarations],MATCH($B46,tblMatières[Matière],0))</f>
        <v>173</v>
      </c>
      <c r="F46" s="295">
        <f>D46/D$48 * $E$48/$E$51 * FraisGestionImputés</f>
        <v>229220.23057983408</v>
      </c>
      <c r="G46" s="567">
        <f>C46+F46</f>
        <v>568229.88216173579</v>
      </c>
      <c r="I46" s="429"/>
    </row>
    <row r="47" spans="1:9" x14ac:dyDescent="0.25">
      <c r="A47" s="46"/>
      <c r="B47" s="239" t="str">
        <f>INDEX(ListeMatières,31)</f>
        <v>Céramique</v>
      </c>
      <c r="C47" s="103">
        <f>INDEX(tblMatières[Frais d''étude],MATCH($B47,tblMatières[Matière],0))</f>
        <v>2701.0302697517204</v>
      </c>
      <c r="D47" s="141">
        <f>INDEX(tblMatières[Quantité déclarée (tonnes)],MATCH($B47,tblMatières[Matière],0))</f>
        <v>678</v>
      </c>
      <c r="E47" s="58">
        <f>INDEX(tblMatières[Nombre déclarations],MATCH($B47,tblMatières[Matière],0))</f>
        <v>3</v>
      </c>
      <c r="F47" s="295">
        <f>D47/D$48 * $E$48/$E$51 * FraisGestionImputés</f>
        <v>1826.2925129777486</v>
      </c>
      <c r="G47" s="567">
        <f>C47+F47</f>
        <v>4527.3227827294686</v>
      </c>
      <c r="I47" s="429"/>
    </row>
    <row r="48" spans="1:9" x14ac:dyDescent="0.25">
      <c r="A48" s="43" t="str">
        <f>'Sommaire exécutif'!A47</f>
        <v>Verre TOTAL</v>
      </c>
      <c r="B48" s="10"/>
      <c r="C48" s="109">
        <f>SUBTOTAL(9,C45:C47)</f>
        <v>599999.99999999988</v>
      </c>
      <c r="D48" s="22">
        <f>SUBTOTAL(9,D45:D47)</f>
        <v>150609.19500000001</v>
      </c>
      <c r="E48" s="60">
        <f>SUBTOTAL(9,E45:E47)</f>
        <v>439</v>
      </c>
      <c r="F48" s="298">
        <f>SUBTOTAL(9,F45:F47)</f>
        <v>405687.97229219135</v>
      </c>
      <c r="G48" s="298">
        <f t="shared" ref="G48" si="11">SUBTOTAL(9,G45:G46)</f>
        <v>1001160.6495094618</v>
      </c>
      <c r="I48" s="429"/>
    </row>
    <row r="49" spans="1:9" ht="15.75" thickBot="1" x14ac:dyDescent="0.3">
      <c r="A49" s="56" t="str">
        <f>'Sommaire exécutif'!A48</f>
        <v>CONTENANTS ET EMBALLAGES TOTAL</v>
      </c>
      <c r="B49" s="23"/>
      <c r="C49" s="112">
        <f>SUBTOTAL(9,C19:C48)</f>
        <v>599999.99999999988</v>
      </c>
      <c r="D49" s="21">
        <f t="shared" ref="D49:G49" si="12">SUBTOTAL(9,D19:D48)</f>
        <v>524256.67600000004</v>
      </c>
      <c r="E49" s="283">
        <f t="shared" si="12"/>
        <v>8110</v>
      </c>
      <c r="F49" s="299">
        <f t="shared" si="12"/>
        <v>7494600.1259445837</v>
      </c>
      <c r="G49" s="299">
        <f t="shared" si="12"/>
        <v>8094600.1259445837</v>
      </c>
      <c r="I49" s="429"/>
    </row>
    <row r="50" spans="1:9" ht="8.25" customHeight="1" x14ac:dyDescent="0.25">
      <c r="A50" s="38"/>
      <c r="B50" s="35"/>
      <c r="C50" s="113"/>
      <c r="D50" s="141"/>
      <c r="E50" s="37"/>
      <c r="F50" s="295"/>
      <c r="G50" s="295"/>
    </row>
    <row r="51" spans="1:9" ht="15.75" thickBot="1" x14ac:dyDescent="0.3">
      <c r="A51" s="57" t="str">
        <f>'Sommaire exécutif'!A50</f>
        <v>TOTAL</v>
      </c>
      <c r="B51" s="14"/>
      <c r="C51" s="238">
        <f>SUBTOTAL(9,C10:C49)</f>
        <v>599999.99999999988</v>
      </c>
      <c r="D51" s="217">
        <f t="shared" ref="D51:G51" si="13">SUBTOTAL(9,D10:D49)</f>
        <v>622392.90399999998</v>
      </c>
      <c r="E51" s="62">
        <f t="shared" si="13"/>
        <v>9528</v>
      </c>
      <c r="F51" s="301">
        <f t="shared" si="13"/>
        <v>8805000</v>
      </c>
      <c r="G51" s="301">
        <f t="shared" si="13"/>
        <v>9405000</v>
      </c>
    </row>
    <row r="52" spans="1:9" ht="15.75" thickTop="1" x14ac:dyDescent="0.25"/>
  </sheetData>
  <sheetProtection algorithmName="SHA-512" hashValue="N+u1MdSGef9l7Ho7etfWiA0U78+WW6IC6sR++dDvjJ2d0WTsLrazd4HZ8UJ3JiJTPek8JLnaE6fL/5Rqc/ScuQ==" saltValue="aQ2q6ZrQfozfgnciPr/U+A==" spinCount="100000" sheet="1" objects="1" scenarios="1" selectLockedCells="1"/>
  <mergeCells count="1">
    <mergeCell ref="C6:G6"/>
  </mergeCells>
  <pageMargins left="0.7" right="0.7" top="0.75" bottom="0.75" header="0.3" footer="0.3"/>
  <pageSetup scale="52" fitToHeight="0" orientation="landscape" r:id="rId1"/>
  <ignoredErrors>
    <ignoredError sqref="C34:G37 C27:G32 C39:G40 C42:G43"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M52"/>
  <sheetViews>
    <sheetView showGridLines="0" zoomScale="80" zoomScaleNormal="80" zoomScaleSheetLayoutView="80" workbookViewId="0">
      <pane xSplit="3" ySplit="7" topLeftCell="D8" activePane="bottomRight" state="frozen"/>
      <selection pane="topRight" activeCell="C1" sqref="C1"/>
      <selection pane="bottomLeft" activeCell="A8" sqref="A8"/>
      <selection pane="bottomRight" activeCell="M46" sqref="M46:M47"/>
    </sheetView>
  </sheetViews>
  <sheetFormatPr baseColWidth="10" defaultColWidth="13.42578125" defaultRowHeight="15" x14ac:dyDescent="0.25"/>
  <cols>
    <col min="1" max="1" width="1.42578125" customWidth="1"/>
    <col min="2" max="2" width="26.5703125" customWidth="1"/>
    <col min="3" max="3" width="59.140625" bestFit="1" customWidth="1"/>
    <col min="4" max="4" width="16.5703125" bestFit="1" customWidth="1"/>
    <col min="5" max="6" width="19" customWidth="1"/>
    <col min="7" max="7" width="17.42578125" customWidth="1"/>
    <col min="8" max="8" width="17.42578125" bestFit="1" customWidth="1"/>
    <col min="9" max="9" width="19.140625" customWidth="1"/>
    <col min="10" max="10" width="16.42578125" customWidth="1"/>
    <col min="11" max="11" width="17.42578125" customWidth="1"/>
    <col min="13" max="13" width="18.42578125" customWidth="1"/>
  </cols>
  <sheetData>
    <row r="1" spans="1:13" s="156" customFormat="1" ht="15.75" thickBot="1" x14ac:dyDescent="0.3">
      <c r="A1" s="245"/>
      <c r="B1" s="4" t="s">
        <v>201</v>
      </c>
      <c r="C1" s="36"/>
    </row>
    <row r="2" spans="1:13" ht="6.75" customHeight="1" thickBot="1" x14ac:dyDescent="0.3"/>
    <row r="3" spans="1:13" ht="18.75" thickBot="1" x14ac:dyDescent="0.3">
      <c r="B3" s="91" t="str">
        <f>Paramètres!B4</f>
        <v>Tarif</v>
      </c>
      <c r="C3" s="242">
        <f>AnnéeTarif</f>
        <v>2021</v>
      </c>
    </row>
    <row r="4" spans="1:13" ht="18.75" thickBot="1" x14ac:dyDescent="0.3">
      <c r="B4" s="91" t="str">
        <f>Paramètres!B5</f>
        <v>Scénario</v>
      </c>
      <c r="C4" s="242" t="str">
        <f>Paramètres!C5</f>
        <v xml:space="preserve">Projet de tarif </v>
      </c>
    </row>
    <row r="5" spans="1:13" ht="18.75" thickBot="1" x14ac:dyDescent="0.3">
      <c r="B5" s="91" t="str">
        <f>Paramètres!B6</f>
        <v>Année de référence</v>
      </c>
      <c r="C5" s="92">
        <f>AnnéeRéf</f>
        <v>2020</v>
      </c>
    </row>
    <row r="6" spans="1:13" ht="17.25" customHeight="1" thickBot="1" x14ac:dyDescent="0.3">
      <c r="D6" s="670" t="s">
        <v>201</v>
      </c>
      <c r="E6" s="671"/>
      <c r="F6" s="671"/>
      <c r="G6" s="671"/>
      <c r="H6" s="671"/>
      <c r="I6" s="671"/>
      <c r="J6" s="671"/>
      <c r="K6" s="671"/>
      <c r="L6" s="671"/>
      <c r="M6" s="672"/>
    </row>
    <row r="7" spans="1:13" ht="45" x14ac:dyDescent="0.25">
      <c r="B7" s="42" t="str">
        <f>'Sommaire exécutif'!A7</f>
        <v>CATÉGORIE</v>
      </c>
      <c r="C7" s="9" t="str">
        <f>'Sommaire exécutif'!B7</f>
        <v>Matière</v>
      </c>
      <c r="D7" s="522" t="s">
        <v>198</v>
      </c>
      <c r="E7" s="523" t="s">
        <v>199</v>
      </c>
      <c r="F7" s="523" t="s">
        <v>206</v>
      </c>
      <c r="G7" s="523" t="s">
        <v>195</v>
      </c>
      <c r="H7" s="523" t="s">
        <v>200</v>
      </c>
      <c r="I7" s="523" t="s">
        <v>204</v>
      </c>
      <c r="J7" s="523" t="s">
        <v>205</v>
      </c>
      <c r="K7" s="523" t="s">
        <v>207</v>
      </c>
      <c r="L7" s="523" t="s">
        <v>208</v>
      </c>
      <c r="M7" s="523" t="s">
        <v>209</v>
      </c>
    </row>
    <row r="8" spans="1:13" x14ac:dyDescent="0.25">
      <c r="B8" s="70"/>
      <c r="C8" s="72"/>
      <c r="D8" s="70"/>
      <c r="E8" s="71"/>
      <c r="F8" s="71"/>
      <c r="G8" s="71"/>
      <c r="H8" s="71"/>
      <c r="I8" s="71"/>
      <c r="J8" s="71"/>
      <c r="K8" s="71"/>
      <c r="L8" s="71"/>
      <c r="M8" s="71"/>
    </row>
    <row r="9" spans="1:13" x14ac:dyDescent="0.25">
      <c r="B9" s="43" t="str">
        <f>'Sommaire exécutif'!A8</f>
        <v>IMPRIMÉS</v>
      </c>
      <c r="C9" s="11"/>
      <c r="D9" s="107"/>
      <c r="E9" s="108"/>
      <c r="F9" s="108"/>
      <c r="G9" s="11"/>
      <c r="H9" s="108"/>
      <c r="I9" s="108"/>
      <c r="J9" s="108"/>
      <c r="K9" s="108"/>
      <c r="L9" s="108"/>
      <c r="M9" s="108"/>
    </row>
    <row r="10" spans="1:13" x14ac:dyDescent="0.25">
      <c r="B10" s="259"/>
      <c r="C10" s="37" t="str">
        <f>INDEX(ListeMatières,1)</f>
        <v>Encarts et circulaires imprimés sur du papier journal</v>
      </c>
      <c r="D10" s="160">
        <f>INDEX(tblMatières[Quantité déclarée précédente],MATCH($C10,tblMatières[Matière],0))</f>
        <v>100503.348</v>
      </c>
      <c r="E10" s="528">
        <f>INDEX(tblMatières[Taux précédent],MATCH($C10,tblMatières[Matière],0))</f>
        <v>292.25</v>
      </c>
      <c r="F10" s="173">
        <f>INDEX(tblMatières[Quantité déclarée (tonnes)],MATCH($C10,tblMatières[Matière],0))</f>
        <v>65368.142999999996</v>
      </c>
      <c r="G10" s="528">
        <f>SUM(Tarif!H11:K11)/Tarif!G11</f>
        <v>396.60071931929588</v>
      </c>
      <c r="H10" s="529">
        <f>G10/E10-1</f>
        <v>0.35705977525849741</v>
      </c>
      <c r="I10" s="295">
        <f t="shared" ref="I10:I15" si="0">E10*(1+LimiteHausse)</f>
        <v>438.375</v>
      </c>
      <c r="J10" s="558">
        <f>MAX((G10-I10)*F10,0)</f>
        <v>0</v>
      </c>
      <c r="K10" s="464">
        <f>MIN((G10-I10)*F10,0)</f>
        <v>-2730707.1532584042</v>
      </c>
      <c r="L10" s="529">
        <f>K10/$K$16</f>
        <v>0.62483123941724317</v>
      </c>
      <c r="M10" s="565">
        <f>L10*$J$16 - J10</f>
        <v>0</v>
      </c>
    </row>
    <row r="11" spans="1:13" x14ac:dyDescent="0.25">
      <c r="B11" s="259"/>
      <c r="C11" s="37" t="str">
        <f>INDEX(ListeMatières,2)</f>
        <v>Catalogues et publications</v>
      </c>
      <c r="D11" s="160">
        <f>INDEX(tblMatières[Quantité déclarée précédente],MATCH($C11,tblMatières[Matière],0))</f>
        <v>16909.731</v>
      </c>
      <c r="E11" s="528">
        <f>INDEX(tblMatières[Taux précédent],MATCH($C11,tblMatières[Matière],0))</f>
        <v>425.74</v>
      </c>
      <c r="F11" s="173">
        <f>INDEX(tblMatières[Quantité déclarée (tonnes)],MATCH($C11,tblMatières[Matière],0))</f>
        <v>5387.2479999999996</v>
      </c>
      <c r="G11" s="528">
        <f>SUM(Tarif!$H$12:$K$16)/SUM(Tarif!$G$12:$G$16)</f>
        <v>588.57337594763783</v>
      </c>
      <c r="H11" s="529">
        <f t="shared" ref="H11:H15" si="1">G11/E11-1</f>
        <v>0.38247140495992338</v>
      </c>
      <c r="I11" s="295">
        <f t="shared" si="0"/>
        <v>638.61</v>
      </c>
      <c r="J11" s="537">
        <f t="shared" ref="J11:J15" si="2">MAX((G11-I11)*F11,0)</f>
        <v>0</v>
      </c>
      <c r="K11" s="464">
        <f t="shared" ref="K11:K15" si="3">MIN((G11-I11)*F11,0)</f>
        <v>-269559.70285284007</v>
      </c>
      <c r="L11" s="529">
        <f t="shared" ref="L11:L15" si="4">K11/$K$16</f>
        <v>6.167974585978811E-2</v>
      </c>
      <c r="M11" s="565">
        <f t="shared" ref="M11:M15" si="5">L11*$J$16 - J11</f>
        <v>0</v>
      </c>
    </row>
    <row r="12" spans="1:13" x14ac:dyDescent="0.25">
      <c r="B12" s="259"/>
      <c r="C12" s="37" t="str">
        <f>INDEX(ListeMatières,3)</f>
        <v>Magazines</v>
      </c>
      <c r="D12" s="160">
        <f>INDEX(tblMatières[Quantité déclarée précédente],MATCH($C12,tblMatières[Matière],0))</f>
        <v>10816.571</v>
      </c>
      <c r="E12" s="528">
        <f>INDEX(tblMatières[Taux précédent],MATCH($C12,tblMatières[Matière],0))</f>
        <v>425.74</v>
      </c>
      <c r="F12" s="173">
        <f>INDEX(tblMatières[Quantité déclarée (tonnes)],MATCH($C12,tblMatières[Matière],0))</f>
        <v>3004.6579999999999</v>
      </c>
      <c r="G12" s="528">
        <f>SUM(Tarif!$H$12:$K$16)/SUM(Tarif!$G$12:$G$16)</f>
        <v>588.57337594763783</v>
      </c>
      <c r="H12" s="529">
        <f t="shared" si="1"/>
        <v>0.38247140495992338</v>
      </c>
      <c r="I12" s="295">
        <f t="shared" si="0"/>
        <v>638.61</v>
      </c>
      <c r="J12" s="537">
        <f t="shared" si="2"/>
        <v>0</v>
      </c>
      <c r="K12" s="464">
        <f t="shared" si="3"/>
        <v>-150342.94275192244</v>
      </c>
      <c r="L12" s="529">
        <f t="shared" si="4"/>
        <v>3.4400967216578711E-2</v>
      </c>
      <c r="M12" s="565">
        <f t="shared" si="5"/>
        <v>0</v>
      </c>
    </row>
    <row r="13" spans="1:13" x14ac:dyDescent="0.25">
      <c r="B13" s="259"/>
      <c r="C13" s="37" t="str">
        <f>INDEX(ListeMatières,4)</f>
        <v>Annuaires téléphoniques</v>
      </c>
      <c r="D13" s="160">
        <f>INDEX(tblMatières[Quantité déclarée précédente],MATCH($C13,tblMatières[Matière],0))</f>
        <v>1956.9110000000001</v>
      </c>
      <c r="E13" s="528">
        <f>INDEX(tblMatières[Taux précédent],MATCH($C13,tblMatières[Matière],0))</f>
        <v>425.74</v>
      </c>
      <c r="F13" s="173">
        <f>INDEX(tblMatières[Quantité déclarée (tonnes)],MATCH($C13,tblMatières[Matière],0))</f>
        <v>320.28500000000003</v>
      </c>
      <c r="G13" s="528">
        <f>SUM(Tarif!$H$12:$K$16)/SUM(Tarif!$G$12:$G$16)</f>
        <v>588.57337594763783</v>
      </c>
      <c r="H13" s="529">
        <f t="shared" si="1"/>
        <v>0.38247140495992338</v>
      </c>
      <c r="I13" s="295">
        <f t="shared" si="0"/>
        <v>638.61</v>
      </c>
      <c r="J13" s="537">
        <f t="shared" si="2"/>
        <v>0</v>
      </c>
      <c r="K13" s="464">
        <f t="shared" si="3"/>
        <v>-16025.980134610823</v>
      </c>
      <c r="L13" s="529">
        <f t="shared" si="4"/>
        <v>3.6670109493199938E-3</v>
      </c>
      <c r="M13" s="565">
        <f t="shared" si="5"/>
        <v>0</v>
      </c>
    </row>
    <row r="14" spans="1:13" x14ac:dyDescent="0.25">
      <c r="B14" s="259"/>
      <c r="C14" s="37" t="str">
        <f>INDEX(ListeMatières,5)</f>
        <v>Papier à usage général</v>
      </c>
      <c r="D14" s="160">
        <f>INDEX(tblMatières[Quantité déclarée précédente],MATCH($C14,tblMatières[Matière],0))</f>
        <v>4514.6930000000002</v>
      </c>
      <c r="E14" s="528">
        <f>INDEX(tblMatières[Taux précédent],MATCH($C14,tblMatières[Matière],0))</f>
        <v>425.74</v>
      </c>
      <c r="F14" s="173">
        <f>INDEX(tblMatières[Quantité déclarée (tonnes)],MATCH($C14,tblMatières[Matière],0))</f>
        <v>5107.7979999999998</v>
      </c>
      <c r="G14" s="528">
        <f>SUM(Tarif!$H$12:$K$16)/SUM(Tarif!$G$12:$G$16)</f>
        <v>588.57337594763783</v>
      </c>
      <c r="H14" s="529">
        <f t="shared" si="1"/>
        <v>0.38247140495992338</v>
      </c>
      <c r="I14" s="295">
        <f t="shared" si="0"/>
        <v>638.61</v>
      </c>
      <c r="J14" s="537">
        <f t="shared" si="2"/>
        <v>0</v>
      </c>
      <c r="K14" s="464">
        <f t="shared" si="3"/>
        <v>-255576.96826140746</v>
      </c>
      <c r="L14" s="529">
        <f t="shared" si="4"/>
        <v>5.8480263493185018E-2</v>
      </c>
      <c r="M14" s="565">
        <f t="shared" si="5"/>
        <v>0</v>
      </c>
    </row>
    <row r="15" spans="1:13" x14ac:dyDescent="0.25">
      <c r="B15" s="259"/>
      <c r="C15" s="37" t="str">
        <f>INDEX(ListeMatières,6)</f>
        <v>Autres imprimés</v>
      </c>
      <c r="D15" s="160">
        <f>INDEX(tblMatières[Quantité déclarée précédente],MATCH($C15,tblMatières[Matière],0))</f>
        <v>26543.002</v>
      </c>
      <c r="E15" s="528">
        <f>INDEX(tblMatières[Taux précédent],MATCH($C15,tblMatières[Matière],0))</f>
        <v>425.74</v>
      </c>
      <c r="F15" s="173">
        <f>INDEX(tblMatières[Quantité déclarée (tonnes)],MATCH($C15,tblMatières[Matière],0))</f>
        <v>18948.096000000001</v>
      </c>
      <c r="G15" s="528">
        <f>SUM(Tarif!$H$12:$K$16)/SUM(Tarif!$G$12:$G$16)</f>
        <v>588.57337594763783</v>
      </c>
      <c r="H15" s="529">
        <f t="shared" si="1"/>
        <v>0.38247140495992338</v>
      </c>
      <c r="I15" s="295">
        <f t="shared" si="0"/>
        <v>638.61</v>
      </c>
      <c r="J15" s="537">
        <f t="shared" si="2"/>
        <v>0</v>
      </c>
      <c r="K15" s="464">
        <f t="shared" si="3"/>
        <v>-948098.7560600678</v>
      </c>
      <c r="L15" s="529">
        <f t="shared" si="4"/>
        <v>0.2169407730638849</v>
      </c>
      <c r="M15" s="565">
        <f t="shared" si="5"/>
        <v>0</v>
      </c>
    </row>
    <row r="16" spans="1:13" ht="15.75" thickBot="1" x14ac:dyDescent="0.3">
      <c r="B16" s="55" t="str">
        <f>'Sommaire exécutif'!A15</f>
        <v>IMPRIMÉS TOTAL</v>
      </c>
      <c r="C16" s="20"/>
      <c r="D16" s="21">
        <f>SUBTOTAL(9,D10:D15)</f>
        <v>161244.25599999999</v>
      </c>
      <c r="E16" s="21"/>
      <c r="F16" s="21">
        <f>SUBTOTAL(9,F10:F15)</f>
        <v>98136.228000000003</v>
      </c>
      <c r="G16" s="21"/>
      <c r="H16" s="297"/>
      <c r="I16" s="297"/>
      <c r="J16" s="559">
        <f>SUBTOTAL(9,J10:J15)</f>
        <v>0</v>
      </c>
      <c r="K16" s="532">
        <f>SUBTOTAL(9,K10:K15)</f>
        <v>-4370311.5033192532</v>
      </c>
      <c r="L16" s="89">
        <f>SUBTOTAL(9,L10:L15)</f>
        <v>0.99999999999999989</v>
      </c>
      <c r="M16" s="532">
        <f>SUBTOTAL(9,M10:M15)</f>
        <v>0</v>
      </c>
    </row>
    <row r="17" spans="2:13" x14ac:dyDescent="0.25">
      <c r="B17" s="259"/>
      <c r="C17" s="35"/>
      <c r="D17" s="103"/>
      <c r="E17" s="141"/>
      <c r="F17" s="141"/>
      <c r="G17" s="37"/>
      <c r="H17" s="295"/>
      <c r="I17" s="295"/>
      <c r="J17" s="295"/>
      <c r="K17" s="295"/>
      <c r="L17" s="295"/>
      <c r="M17" s="295"/>
    </row>
    <row r="18" spans="2:13" x14ac:dyDescent="0.25">
      <c r="B18" s="43" t="str">
        <f>'Sommaire exécutif'!A17</f>
        <v>CONTENANTS ET EMBALLAGES</v>
      </c>
      <c r="C18" s="11"/>
      <c r="D18" s="107"/>
      <c r="E18" s="216"/>
      <c r="F18" s="216"/>
      <c r="G18" s="11"/>
      <c r="H18" s="302"/>
      <c r="I18" s="302"/>
      <c r="J18" s="302"/>
      <c r="K18" s="302"/>
      <c r="L18" s="302"/>
      <c r="M18" s="302"/>
    </row>
    <row r="19" spans="2:13" x14ac:dyDescent="0.25">
      <c r="B19" s="46" t="str">
        <f>'Sommaire exécutif'!A18</f>
        <v>Papier et carton</v>
      </c>
      <c r="C19" s="37" t="str">
        <f>INDEX(ListeMatières,7)</f>
        <v>Carton ondulé</v>
      </c>
      <c r="D19" s="160">
        <f>INDEX(tblMatières[Quantité déclarée précédente],MATCH($C19,tblMatières[Matière],0))</f>
        <v>57170.796000000002</v>
      </c>
      <c r="E19" s="528">
        <f>INDEX(tblMatières[Taux précédent],MATCH($C19,tblMatières[Matière],0))</f>
        <v>218.03</v>
      </c>
      <c r="F19" s="173">
        <f>INDEX(tblMatières[Quantité déclarée (tonnes)],MATCH($C19,tblMatières[Matière],0))</f>
        <v>58408.389000000003</v>
      </c>
      <c r="G19" s="528">
        <f>SUM(Tarif!$H$20:$K$22)/SUM(Tarif!$G$20:$G$22)</f>
        <v>245.26474177310016</v>
      </c>
      <c r="H19" s="529">
        <f t="shared" ref="H19:H25" si="6">G19/E19-1</f>
        <v>0.12491281829610679</v>
      </c>
      <c r="I19" s="295">
        <f t="shared" ref="I19:I25" si="7">E19*(1+LimiteHausse)</f>
        <v>327.04500000000002</v>
      </c>
      <c r="J19" s="558">
        <f t="shared" ref="J19:J25" si="8">MAX((G19-I19)*F19,0)</f>
        <v>0</v>
      </c>
      <c r="K19" s="464">
        <f t="shared" ref="K19:K25" si="9">MIN((G19-I19)*F19,0)</f>
        <v>-4776653.1350372173</v>
      </c>
      <c r="L19" s="529">
        <f>K19/$K$49</f>
        <v>8.7382081687218352E-2</v>
      </c>
      <c r="M19" s="565">
        <f>L19*$J$49-J19</f>
        <v>0</v>
      </c>
    </row>
    <row r="20" spans="2:13" x14ac:dyDescent="0.25">
      <c r="B20" s="46"/>
      <c r="C20" s="37" t="str">
        <f>INDEX(ListeMatières,8)</f>
        <v>Sacs de papier kraft</v>
      </c>
      <c r="D20" s="160">
        <f>INDEX(tblMatières[Quantité déclarée précédente],MATCH($C20,tblMatières[Matière],0))</f>
        <v>2779.5329999999999</v>
      </c>
      <c r="E20" s="528">
        <f>INDEX(tblMatières[Taux précédent],MATCH($C20,tblMatières[Matière],0))</f>
        <v>218.03</v>
      </c>
      <c r="F20" s="173">
        <f>INDEX(tblMatières[Quantité déclarée (tonnes)],MATCH($C20,tblMatières[Matière],0))</f>
        <v>3906.12</v>
      </c>
      <c r="G20" s="528">
        <f>SUM(Tarif!$H$20:$K$22)/SUM(Tarif!$G$20:$G$22)</f>
        <v>245.26474177310016</v>
      </c>
      <c r="H20" s="529">
        <f t="shared" si="6"/>
        <v>0.12491281829610679</v>
      </c>
      <c r="I20" s="295">
        <f t="shared" si="7"/>
        <v>327.04500000000002</v>
      </c>
      <c r="J20" s="537">
        <f t="shared" si="8"/>
        <v>0</v>
      </c>
      <c r="K20" s="464">
        <f t="shared" si="9"/>
        <v>-319443.50226525805</v>
      </c>
      <c r="L20" s="529">
        <f t="shared" ref="L20:L25" si="10">K20/$K$49</f>
        <v>5.8437649584904203E-3</v>
      </c>
      <c r="M20" s="565">
        <f t="shared" ref="M20:M25" si="11">L20*$J$49-J20</f>
        <v>0</v>
      </c>
    </row>
    <row r="21" spans="2:13" x14ac:dyDescent="0.25">
      <c r="B21" s="46"/>
      <c r="C21" s="37" t="str">
        <f>INDEX(ListeMatières,9)</f>
        <v>Emballages de papier kraft</v>
      </c>
      <c r="D21" s="160">
        <f>INDEX(tblMatières[Quantité déclarée précédente],MATCH($C21,tblMatières[Matière],0))</f>
        <v>311.67700000000002</v>
      </c>
      <c r="E21" s="528">
        <f>INDEX(tblMatières[Taux précédent],MATCH($C21,tblMatières[Matière],0))</f>
        <v>218.03</v>
      </c>
      <c r="F21" s="173">
        <f>INDEX(tblMatières[Quantité déclarée (tonnes)],MATCH($C21,tblMatières[Matière],0))</f>
        <v>2207.5160000000001</v>
      </c>
      <c r="G21" s="528">
        <f>SUM(Tarif!$H$20:$K$22)/SUM(Tarif!$G$20:$G$22)</f>
        <v>245.26474177310016</v>
      </c>
      <c r="H21" s="529">
        <f t="shared" si="6"/>
        <v>0.12491281829610679</v>
      </c>
      <c r="I21" s="295">
        <f t="shared" si="7"/>
        <v>327.04500000000002</v>
      </c>
      <c r="J21" s="537">
        <f t="shared" si="8"/>
        <v>0</v>
      </c>
      <c r="K21" s="464">
        <f t="shared" si="9"/>
        <v>-180531.22852001307</v>
      </c>
      <c r="L21" s="529">
        <f t="shared" si="10"/>
        <v>3.3025622986766765E-3</v>
      </c>
      <c r="M21" s="565">
        <f t="shared" si="11"/>
        <v>0</v>
      </c>
    </row>
    <row r="22" spans="2:13" x14ac:dyDescent="0.25">
      <c r="B22" s="46"/>
      <c r="C22" s="37" t="str">
        <f>INDEX(ListeMatières,10)</f>
        <v>Carton plat et autres emballages de papier</v>
      </c>
      <c r="D22" s="160">
        <f>INDEX(tblMatières[Quantité déclarée précédente],MATCH($C22,tblMatières[Matière],0))</f>
        <v>87558.263999999996</v>
      </c>
      <c r="E22" s="528">
        <f>INDEX(tblMatières[Taux précédent],MATCH($C22,tblMatières[Matière],0))</f>
        <v>238.92</v>
      </c>
      <c r="F22" s="173">
        <f>INDEX(tblMatières[Quantité déclarée (tonnes)],MATCH($C22,tblMatières[Matière],0))</f>
        <v>92654.394</v>
      </c>
      <c r="G22" s="528">
        <f>SUM(Tarif!H23:K23)/Tarif!G23</f>
        <v>269.44942169889833</v>
      </c>
      <c r="H22" s="529">
        <f t="shared" si="6"/>
        <v>0.127780937966258</v>
      </c>
      <c r="I22" s="295">
        <f t="shared" si="7"/>
        <v>358.38</v>
      </c>
      <c r="J22" s="537">
        <f t="shared" si="8"/>
        <v>0</v>
      </c>
      <c r="K22" s="464">
        <f t="shared" si="9"/>
        <v>-8239808.8405581238</v>
      </c>
      <c r="L22" s="529">
        <f t="shared" si="10"/>
        <v>0.15073559432468692</v>
      </c>
      <c r="M22" s="565">
        <f t="shared" si="11"/>
        <v>0</v>
      </c>
    </row>
    <row r="23" spans="2:13" x14ac:dyDescent="0.25">
      <c r="B23" s="46"/>
      <c r="C23" s="37" t="str">
        <f>INDEX(ListeMatières,11)</f>
        <v>Contenants à pignon</v>
      </c>
      <c r="D23" s="160">
        <f>INDEX(tblMatières[Quantité déclarée précédente],MATCH($C23,tblMatières[Matière],0))</f>
        <v>12195.59</v>
      </c>
      <c r="E23" s="528">
        <f>INDEX(tblMatières[Taux précédent],MATCH($C23,tblMatières[Matière],0))</f>
        <v>225.57</v>
      </c>
      <c r="F23" s="173">
        <f>INDEX(tblMatières[Quantité déclarée (tonnes)],MATCH($C23,tblMatières[Matière],0))</f>
        <v>9680.7970000000005</v>
      </c>
      <c r="G23" s="528">
        <f>SUM(Tarif!H24:K24)/Tarif!G24</f>
        <v>254.16320699725932</v>
      </c>
      <c r="H23" s="529">
        <f t="shared" si="6"/>
        <v>0.1267597951733801</v>
      </c>
      <c r="I23" s="295">
        <f t="shared" si="7"/>
        <v>338.35500000000002</v>
      </c>
      <c r="J23" s="537">
        <f t="shared" si="8"/>
        <v>0</v>
      </c>
      <c r="K23" s="464">
        <f t="shared" si="9"/>
        <v>-815043.65712555312</v>
      </c>
      <c r="L23" s="529">
        <f t="shared" si="10"/>
        <v>1.4910065565193977E-2</v>
      </c>
      <c r="M23" s="565">
        <f t="shared" si="11"/>
        <v>0</v>
      </c>
    </row>
    <row r="24" spans="2:13" x14ac:dyDescent="0.25">
      <c r="B24" s="46"/>
      <c r="C24" s="37" t="str">
        <f>INDEX(ListeMatières,12)</f>
        <v>Laminés de papier</v>
      </c>
      <c r="D24" s="160">
        <f>INDEX(tblMatières[Quantité déclarée précédente],MATCH($C24,tblMatières[Matière],0))</f>
        <v>12555.716</v>
      </c>
      <c r="E24" s="528">
        <f>INDEX(tblMatières[Taux précédent],MATCH($C24,tblMatières[Matière],0))</f>
        <v>341.22</v>
      </c>
      <c r="F24" s="173">
        <f>INDEX(tblMatières[Quantité déclarée (tonnes)],MATCH($C24,tblMatières[Matière],0))</f>
        <v>13115.505999999999</v>
      </c>
      <c r="G24" s="528">
        <f>SUM(Tarif!H25:K25)/Tarif!G25</f>
        <v>386.32822863415845</v>
      </c>
      <c r="H24" s="529">
        <f t="shared" si="6"/>
        <v>0.13219690708094012</v>
      </c>
      <c r="I24" s="295">
        <f t="shared" si="7"/>
        <v>511.83000000000004</v>
      </c>
      <c r="J24" s="537">
        <f t="shared" si="8"/>
        <v>0</v>
      </c>
      <c r="K24" s="464">
        <f t="shared" si="9"/>
        <v>-1646019.2353593234</v>
      </c>
      <c r="L24" s="529">
        <f t="shared" si="10"/>
        <v>3.0111582988489372E-2</v>
      </c>
      <c r="M24" s="565">
        <f t="shared" si="11"/>
        <v>0</v>
      </c>
    </row>
    <row r="25" spans="2:13" x14ac:dyDescent="0.25">
      <c r="B25" s="46"/>
      <c r="C25" s="37" t="str">
        <f>INDEX(ListeMatières,13)</f>
        <v>Contenants aseptiques</v>
      </c>
      <c r="D25" s="160">
        <f>INDEX(tblMatières[Quantité déclarée précédente],MATCH($C25,tblMatières[Matière],0))</f>
        <v>6206.1570000000002</v>
      </c>
      <c r="E25" s="528">
        <f>INDEX(tblMatières[Taux précédent],MATCH($C25,tblMatières[Matière],0))</f>
        <v>278.8</v>
      </c>
      <c r="F25" s="173">
        <f>INDEX(tblMatières[Quantité déclarée (tonnes)],MATCH($C25,tblMatières[Matière],0))</f>
        <v>5539.04</v>
      </c>
      <c r="G25" s="528">
        <f>SUM(Tarif!H26:K26)/Tarif!G26</f>
        <v>314.93617435320243</v>
      </c>
      <c r="H25" s="529">
        <f t="shared" si="6"/>
        <v>0.12961325090818665</v>
      </c>
      <c r="I25" s="295">
        <f t="shared" si="7"/>
        <v>418.20000000000005</v>
      </c>
      <c r="J25" s="537">
        <f t="shared" si="8"/>
        <v>0</v>
      </c>
      <c r="K25" s="464">
        <f t="shared" si="9"/>
        <v>-571982.4608106378</v>
      </c>
      <c r="L25" s="529">
        <f t="shared" si="10"/>
        <v>1.0463606358099497E-2</v>
      </c>
      <c r="M25" s="565">
        <f t="shared" si="11"/>
        <v>0</v>
      </c>
    </row>
    <row r="26" spans="2:13" x14ac:dyDescent="0.25">
      <c r="B26" s="43" t="str">
        <f>'Sommaire exécutif'!A25</f>
        <v>Papier et carton TOTAL</v>
      </c>
      <c r="C26" s="10"/>
      <c r="D26" s="22">
        <f t="shared" ref="D26:F26" si="12">SUBTOTAL(9,D19:D25)</f>
        <v>178777.73300000001</v>
      </c>
      <c r="E26" s="22"/>
      <c r="F26" s="22">
        <f t="shared" si="12"/>
        <v>185511.76199999999</v>
      </c>
      <c r="G26" s="22"/>
      <c r="H26" s="298"/>
      <c r="I26" s="298"/>
      <c r="J26" s="560">
        <f t="shared" ref="J26:L26" si="13">SUBTOTAL(9,J19:J25)</f>
        <v>0</v>
      </c>
      <c r="K26" s="534">
        <f t="shared" si="13"/>
        <v>-16549482.059676128</v>
      </c>
      <c r="L26" s="87">
        <f t="shared" si="13"/>
        <v>0.30274925818085524</v>
      </c>
      <c r="M26" s="534">
        <f t="shared" ref="M26" si="14">SUBTOTAL(9,M19:M25)</f>
        <v>0</v>
      </c>
    </row>
    <row r="27" spans="2:13" x14ac:dyDescent="0.25">
      <c r="B27" s="46" t="str">
        <f>'Sommaire exécutif'!A26</f>
        <v>Plastique</v>
      </c>
      <c r="C27" s="37" t="str">
        <f>INDEX(ListeMatières,14)</f>
        <v>Bouteilles PET</v>
      </c>
      <c r="D27" s="160">
        <f>INDEX(tblMatières[Quantité déclarée précédente],MATCH($C27,tblMatières[Matière],0))</f>
        <v>23176.743999999999</v>
      </c>
      <c r="E27" s="528">
        <f>INDEX(tblMatières[Taux précédent],MATCH($C27,tblMatières[Matière],0))</f>
        <v>300.39999999999998</v>
      </c>
      <c r="F27" s="173">
        <f>INDEX(tblMatières[Quantité déclarée (tonnes)],MATCH($C27,tblMatières[Matière],0))</f>
        <v>31023.692999999999</v>
      </c>
      <c r="G27" s="528">
        <f>SUM(Tarif!$H$28:$K$28)/(Tarif!$G$28+Tarif!$G$36)</f>
        <v>334.31842981450188</v>
      </c>
      <c r="H27" s="529">
        <f t="shared" ref="H27:H37" si="15">G27/E27-1</f>
        <v>0.11291088486851497</v>
      </c>
      <c r="I27" s="295">
        <f t="shared" ref="I27:I37" si="16">E27*(1+LimiteHausse)</f>
        <v>450.59999999999997</v>
      </c>
      <c r="J27" s="537">
        <f t="shared" ref="J27:J37" si="17">MAX((G27-I27)*F27,0)</f>
        <v>0</v>
      </c>
      <c r="K27" s="464">
        <f>MIN((G27-I27)*(F27+F35)/2,0)</f>
        <v>-2323084.6629005438</v>
      </c>
      <c r="L27" s="529">
        <f t="shared" ref="L27:L37" si="18">K27/$K$49</f>
        <v>4.2497532904556989E-2</v>
      </c>
      <c r="M27" s="565">
        <f t="shared" ref="M27:M37" si="19">L27*$J$49-J27</f>
        <v>0</v>
      </c>
    </row>
    <row r="28" spans="2:13" x14ac:dyDescent="0.25">
      <c r="B28" s="259"/>
      <c r="C28" s="37" t="str">
        <f>INDEX(ListeMatières,15)</f>
        <v>Bouteilles, tous formats, et contenants &lt; 5l. HDPE</v>
      </c>
      <c r="D28" s="160">
        <f>INDEX(tblMatières[Quantité déclarée précédente],MATCH($C28,tblMatières[Matière],0))</f>
        <v>16609.435000000001</v>
      </c>
      <c r="E28" s="528">
        <f>INDEX(tblMatières[Taux précédent],MATCH($C28,tblMatières[Matière],0))</f>
        <v>162.66</v>
      </c>
      <c r="F28" s="173">
        <f>INDEX(tblMatières[Quantité déclarée (tonnes)],MATCH($C28,tblMatières[Matière],0))</f>
        <v>20311.441999999999</v>
      </c>
      <c r="G28" s="528">
        <f>SUM(Tarif!H29:K29)/Tarif!G29</f>
        <v>185.78585662022243</v>
      </c>
      <c r="H28" s="529">
        <f t="shared" si="15"/>
        <v>0.14217297811522456</v>
      </c>
      <c r="I28" s="295">
        <f t="shared" si="16"/>
        <v>243.99</v>
      </c>
      <c r="J28" s="537">
        <f t="shared" si="17"/>
        <v>0</v>
      </c>
      <c r="K28" s="464">
        <f t="shared" ref="K28:K37" si="20">MIN((G28-I28)*F28,0)</f>
        <v>-1182210.0824180362</v>
      </c>
      <c r="L28" s="529">
        <f t="shared" si="18"/>
        <v>2.1626853588250151E-2</v>
      </c>
      <c r="M28" s="565">
        <f t="shared" si="19"/>
        <v>0</v>
      </c>
    </row>
    <row r="29" spans="2:13" x14ac:dyDescent="0.25">
      <c r="B29" s="259"/>
      <c r="C29" s="37" t="str">
        <f>INDEX(ListeMatières,16)</f>
        <v>Plastiques stratifiés</v>
      </c>
      <c r="D29" s="160">
        <f>INDEX(tblMatières[Quantité déclarée précédente],MATCH($C29,tblMatières[Matière],0))</f>
        <v>12064.946</v>
      </c>
      <c r="E29" s="528">
        <f>INDEX(tblMatières[Taux précédent],MATCH($C29,tblMatières[Matière],0))</f>
        <v>543.38</v>
      </c>
      <c r="F29" s="173">
        <f>INDEX(tblMatières[Quantité déclarée (tonnes)],MATCH($C29,tblMatières[Matière],0))</f>
        <v>15885.589</v>
      </c>
      <c r="G29" s="528">
        <f>SUM(Tarif!$H$30:$K$32)/SUM(Tarif!$G$30:$G$32)</f>
        <v>618.1690873784745</v>
      </c>
      <c r="H29" s="529">
        <f t="shared" si="15"/>
        <v>0.13763680551082946</v>
      </c>
      <c r="I29" s="295">
        <f t="shared" si="16"/>
        <v>815.06999999999994</v>
      </c>
      <c r="J29" s="537">
        <f t="shared" si="17"/>
        <v>0</v>
      </c>
      <c r="K29" s="464">
        <f t="shared" si="20"/>
        <v>-3127886.9716304657</v>
      </c>
      <c r="L29" s="529">
        <f t="shared" si="18"/>
        <v>5.722024755336768E-2</v>
      </c>
      <c r="M29" s="565">
        <f t="shared" si="19"/>
        <v>0</v>
      </c>
    </row>
    <row r="30" spans="2:13" x14ac:dyDescent="0.25">
      <c r="B30" s="259"/>
      <c r="C30" s="37" t="str">
        <f>INDEX(ListeMatières,17)</f>
        <v>Pellicules HDPE et LDPE</v>
      </c>
      <c r="D30" s="160">
        <f>INDEX(tblMatières[Quantité déclarée précédente],MATCH($C30,tblMatières[Matière],0))</f>
        <v>21920.366999999998</v>
      </c>
      <c r="E30" s="528">
        <f>INDEX(tblMatières[Taux précédent],MATCH($C30,tblMatières[Matière],0))</f>
        <v>543.38</v>
      </c>
      <c r="F30" s="173">
        <f>INDEX(tblMatières[Quantité déclarée (tonnes)],MATCH($C30,tblMatières[Matière],0))</f>
        <v>20483.853999999999</v>
      </c>
      <c r="G30" s="528">
        <f>SUM(Tarif!$H$30:$K$32)/SUM(Tarif!$G$30:$G$32)</f>
        <v>618.1690873784745</v>
      </c>
      <c r="H30" s="529">
        <f t="shared" si="15"/>
        <v>0.13763680551082946</v>
      </c>
      <c r="I30" s="295">
        <f t="shared" si="16"/>
        <v>815.06999999999994</v>
      </c>
      <c r="J30" s="537">
        <f t="shared" si="17"/>
        <v>0</v>
      </c>
      <c r="K30" s="464">
        <f t="shared" si="20"/>
        <v>-4033289.5466060843</v>
      </c>
      <c r="L30" s="529">
        <f t="shared" si="18"/>
        <v>7.3783301124499739E-2</v>
      </c>
      <c r="M30" s="565">
        <f t="shared" si="19"/>
        <v>0</v>
      </c>
    </row>
    <row r="31" spans="2:13" x14ac:dyDescent="0.25">
      <c r="B31" s="259"/>
      <c r="C31" s="37" t="str">
        <f>INDEX(ListeMatières,18)</f>
        <v>Sacs d'emplettes de pellicules HDPE et LDPE</v>
      </c>
      <c r="D31" s="160">
        <f>INDEX(tblMatières[Quantité déclarée précédente],MATCH($C31,tblMatières[Matière],0))</f>
        <v>9207.6</v>
      </c>
      <c r="E31" s="528">
        <f>INDEX(tblMatières[Taux précédent],MATCH($C31,tblMatières[Matière],0))</f>
        <v>543.38</v>
      </c>
      <c r="F31" s="173">
        <f>INDEX(tblMatières[Quantité déclarée (tonnes)],MATCH($C31,tblMatières[Matière],0))</f>
        <v>10065.867</v>
      </c>
      <c r="G31" s="528">
        <f>SUM(Tarif!$H$30:$K$32)/SUM(Tarif!$G$30:$G$32)</f>
        <v>618.1690873784745</v>
      </c>
      <c r="H31" s="529">
        <f t="shared" si="15"/>
        <v>0.13763680551082946</v>
      </c>
      <c r="I31" s="295">
        <f t="shared" si="16"/>
        <v>815.06999999999994</v>
      </c>
      <c r="J31" s="537">
        <f t="shared" si="17"/>
        <v>0</v>
      </c>
      <c r="K31" s="464">
        <f t="shared" si="20"/>
        <v>-1981978.3986268963</v>
      </c>
      <c r="L31" s="529">
        <f t="shared" si="18"/>
        <v>3.6257478496974485E-2</v>
      </c>
      <c r="M31" s="565">
        <f t="shared" si="19"/>
        <v>0</v>
      </c>
    </row>
    <row r="32" spans="2:13" x14ac:dyDescent="0.25">
      <c r="B32" s="259"/>
      <c r="C32" s="37" t="str">
        <f>INDEX(ListeMatières,19)</f>
        <v>Polystyrène expansé alimentaire</v>
      </c>
      <c r="D32" s="160">
        <f>INDEX(tblMatières[Quantité déclarée précédente],MATCH($C32,tblMatières[Matière],0))</f>
        <v>4326.0749999999998</v>
      </c>
      <c r="E32" s="528">
        <f>INDEX(tblMatières[Taux précédent],MATCH($C32,tblMatières[Matière],0))</f>
        <v>943.35</v>
      </c>
      <c r="F32" s="173">
        <f>INDEX(tblMatières[Quantité déclarée (tonnes)],MATCH($C32,tblMatières[Matière],0))</f>
        <v>3369.3789999999999</v>
      </c>
      <c r="G32" s="528">
        <f>SUM(Tarif!H33:K35)/(SUM(Tarif!G33:G35) + Tarif!G37)</f>
        <v>987.14742479595668</v>
      </c>
      <c r="H32" s="529">
        <f t="shared" si="15"/>
        <v>4.6427545233430401E-2</v>
      </c>
      <c r="I32" s="295">
        <f t="shared" si="16"/>
        <v>1415.0250000000001</v>
      </c>
      <c r="J32" s="537">
        <f t="shared" si="17"/>
        <v>0</v>
      </c>
      <c r="K32" s="464">
        <f t="shared" si="20"/>
        <v>-1441681.7164634245</v>
      </c>
      <c r="L32" s="529">
        <f t="shared" si="18"/>
        <v>2.6373518435098716E-2</v>
      </c>
      <c r="M32" s="565">
        <f t="shared" si="19"/>
        <v>0</v>
      </c>
    </row>
    <row r="33" spans="2:13" x14ac:dyDescent="0.25">
      <c r="B33" s="259"/>
      <c r="C33" s="37" t="str">
        <f>INDEX(ListeMatières,20)</f>
        <v>Polystyrène expansé de protection</v>
      </c>
      <c r="D33" s="160">
        <f>INDEX(tblMatières[Quantité déclarée précédente],MATCH($C33,tblMatières[Matière],0))</f>
        <v>1850.1969999999999</v>
      </c>
      <c r="E33" s="528">
        <f>INDEX(tblMatières[Taux précédent],MATCH($C33,tblMatières[Matière],0))</f>
        <v>943.35</v>
      </c>
      <c r="F33" s="173">
        <f>INDEX(tblMatières[Quantité déclarée (tonnes)],MATCH($C33,tblMatières[Matière],0))</f>
        <v>1085.0350000000001</v>
      </c>
      <c r="G33" s="528">
        <f>G32</f>
        <v>987.14742479595668</v>
      </c>
      <c r="H33" s="529">
        <f t="shared" si="15"/>
        <v>4.6427545233430401E-2</v>
      </c>
      <c r="I33" s="295">
        <f t="shared" si="16"/>
        <v>1415.0250000000001</v>
      </c>
      <c r="J33" s="537">
        <f t="shared" si="17"/>
        <v>0</v>
      </c>
      <c r="K33" s="464">
        <f t="shared" si="20"/>
        <v>-464262.14481151931</v>
      </c>
      <c r="L33" s="529">
        <f t="shared" si="18"/>
        <v>8.493016242823186E-3</v>
      </c>
      <c r="M33" s="565">
        <f t="shared" si="19"/>
        <v>0</v>
      </c>
    </row>
    <row r="34" spans="2:13" x14ac:dyDescent="0.25">
      <c r="B34" s="259"/>
      <c r="C34" s="37" t="str">
        <f>INDEX(ListeMatières,21)</f>
        <v>Polystyrène non expansé</v>
      </c>
      <c r="D34" s="160">
        <f>INDEX(tblMatières[Quantité déclarée précédente],MATCH($C34,tblMatières[Matière],0))</f>
        <v>5060.2809999999999</v>
      </c>
      <c r="E34" s="528">
        <f>INDEX(tblMatières[Taux précédent],MATCH($C34,tblMatières[Matière],0))</f>
        <v>943.35</v>
      </c>
      <c r="F34" s="173">
        <f>INDEX(tblMatières[Quantité déclarée (tonnes)],MATCH($C34,tblMatières[Matière],0))</f>
        <v>4235.3710000000001</v>
      </c>
      <c r="G34" s="528">
        <f>G32</f>
        <v>987.14742479595668</v>
      </c>
      <c r="H34" s="529">
        <f t="shared" si="15"/>
        <v>4.6427545233430401E-2</v>
      </c>
      <c r="I34" s="295">
        <f t="shared" si="16"/>
        <v>1415.0250000000001</v>
      </c>
      <c r="J34" s="537">
        <f t="shared" si="17"/>
        <v>0</v>
      </c>
      <c r="K34" s="464">
        <f t="shared" si="20"/>
        <v>-1812220.2735695245</v>
      </c>
      <c r="L34" s="529">
        <f t="shared" si="18"/>
        <v>3.3151994818031008E-2</v>
      </c>
      <c r="M34" s="565">
        <f t="shared" si="19"/>
        <v>0</v>
      </c>
    </row>
    <row r="35" spans="2:13" x14ac:dyDescent="0.25">
      <c r="B35" s="259"/>
      <c r="C35" s="37" t="str">
        <f>INDEX(ListeMatières,22)</f>
        <v>Contenants de PET</v>
      </c>
      <c r="D35" s="160">
        <f>INDEX(tblMatières[Quantité déclarée précédente],MATCH($C35,tblMatières[Matière],0))</f>
        <v>7067.826</v>
      </c>
      <c r="E35" s="528">
        <f>INDEX(tblMatières[Taux précédent],MATCH($C35,tblMatières[Matière],0))</f>
        <v>300.39999999999998</v>
      </c>
      <c r="F35" s="173">
        <f>INDEX(tblMatières[Quantité déclarée (tonnes)],MATCH($C35,tblMatières[Matière],0))</f>
        <v>8932.5040000000008</v>
      </c>
      <c r="G35" s="528">
        <f>SUM(Tarif!$H$28:$K$28)/(Tarif!$G$28+Tarif!$G$36)</f>
        <v>334.31842981450188</v>
      </c>
      <c r="H35" s="529">
        <f t="shared" si="15"/>
        <v>0.11291088486851497</v>
      </c>
      <c r="I35" s="295">
        <f t="shared" si="16"/>
        <v>450.59999999999997</v>
      </c>
      <c r="J35" s="537">
        <f t="shared" si="17"/>
        <v>0</v>
      </c>
      <c r="K35" s="464">
        <f>MIN((G35-I35)*(F27+F35)/2,0)</f>
        <v>-2323084.6629005438</v>
      </c>
      <c r="L35" s="529">
        <f t="shared" si="18"/>
        <v>4.2497532904556989E-2</v>
      </c>
      <c r="M35" s="565">
        <f t="shared" si="19"/>
        <v>0</v>
      </c>
    </row>
    <row r="36" spans="2:13" x14ac:dyDescent="0.25">
      <c r="B36" s="259"/>
      <c r="C36" s="37" t="str">
        <f>INDEX(ListeMatières,23)</f>
        <v>Acide polylactique (PLA) et autres plastiques dégradables</v>
      </c>
      <c r="D36" s="160">
        <f>INDEX(tblMatières[Quantité déclarée précédente],MATCH($C36,tblMatières[Matière],0))</f>
        <v>88.733999999999995</v>
      </c>
      <c r="E36" s="528">
        <f>INDEX(tblMatières[Taux précédent],MATCH($C36,tblMatières[Matière],0))</f>
        <v>943.35</v>
      </c>
      <c r="F36" s="173">
        <f>INDEX(tblMatières[Quantité déclarée (tonnes)],MATCH($C36,tblMatières[Matière],0))</f>
        <v>350.81</v>
      </c>
      <c r="G36" s="528">
        <f>G34</f>
        <v>987.14742479595668</v>
      </c>
      <c r="H36" s="529">
        <f t="shared" si="15"/>
        <v>4.6427545233430401E-2</v>
      </c>
      <c r="I36" s="295">
        <f t="shared" si="16"/>
        <v>1415.0250000000001</v>
      </c>
      <c r="J36" s="537">
        <f t="shared" si="17"/>
        <v>0</v>
      </c>
      <c r="K36" s="464">
        <f t="shared" si="20"/>
        <v>-150103.73215733047</v>
      </c>
      <c r="L36" s="529">
        <f t="shared" si="18"/>
        <v>2.7459344888826637E-3</v>
      </c>
      <c r="M36" s="565">
        <f t="shared" si="19"/>
        <v>0</v>
      </c>
    </row>
    <row r="37" spans="2:13" x14ac:dyDescent="0.25">
      <c r="B37" s="259"/>
      <c r="C37" s="37" t="str">
        <f>INDEX(ListeMatières,24)</f>
        <v>Autres plastiques, polymères et polyuréthane</v>
      </c>
      <c r="D37" s="160">
        <f>INDEX(tblMatières[Quantité déclarée précédente],MATCH($C37,tblMatières[Matière],0))</f>
        <v>33319.733</v>
      </c>
      <c r="E37" s="528">
        <f>INDEX(tblMatières[Taux précédent],MATCH($C37,tblMatières[Matière],0))</f>
        <v>359.48</v>
      </c>
      <c r="F37" s="173">
        <f>INDEX(tblMatières[Quantité déclarée (tonnes)],MATCH($C37,tblMatières[Matière],0))</f>
        <v>37245.540999999997</v>
      </c>
      <c r="G37" s="528">
        <f>SUM(Tarif!H38:K38)/Tarif!G38</f>
        <v>405.00965685059242</v>
      </c>
      <c r="H37" s="529">
        <f t="shared" si="15"/>
        <v>0.12665421400520871</v>
      </c>
      <c r="I37" s="295">
        <f t="shared" si="16"/>
        <v>539.22</v>
      </c>
      <c r="J37" s="537">
        <f t="shared" si="17"/>
        <v>0</v>
      </c>
      <c r="K37" s="464">
        <f t="shared" si="20"/>
        <v>-4998736.8383953301</v>
      </c>
      <c r="L37" s="529">
        <f t="shared" si="18"/>
        <v>9.1444787468781749E-2</v>
      </c>
      <c r="M37" s="565">
        <f t="shared" si="19"/>
        <v>0</v>
      </c>
    </row>
    <row r="38" spans="2:13" x14ac:dyDescent="0.25">
      <c r="B38" s="43" t="str">
        <f>'Sommaire exécutif'!A37</f>
        <v>Plastique TOTAL</v>
      </c>
      <c r="C38" s="10"/>
      <c r="D38" s="22">
        <f t="shared" ref="D38:F38" si="21">SUBTOTAL(9,D27:D37)</f>
        <v>134691.93799999999</v>
      </c>
      <c r="E38" s="22"/>
      <c r="F38" s="22">
        <f t="shared" si="21"/>
        <v>152989.08499999996</v>
      </c>
      <c r="G38" s="22"/>
      <c r="H38" s="298"/>
      <c r="I38" s="298"/>
      <c r="J38" s="560">
        <f t="shared" ref="J38:L38" si="22">SUBTOTAL(9,J27:J37)</f>
        <v>0</v>
      </c>
      <c r="K38" s="534">
        <f t="shared" si="22"/>
        <v>-23838539.030479699</v>
      </c>
      <c r="L38" s="87">
        <f t="shared" si="22"/>
        <v>0.43609219802582333</v>
      </c>
      <c r="M38" s="534">
        <f t="shared" ref="M38" si="23">SUBTOTAL(9,M27:M37)</f>
        <v>0</v>
      </c>
    </row>
    <row r="39" spans="2:13" x14ac:dyDescent="0.25">
      <c r="B39" s="46" t="str">
        <f>'Sommaire exécutif'!A38</f>
        <v>Aluminium</v>
      </c>
      <c r="C39" s="37" t="str">
        <f>INDEX(ListeMatières,25)</f>
        <v>Contenants pour aliments et breuvages en aluminium</v>
      </c>
      <c r="D39" s="160">
        <f>INDEX(tblMatières[Quantité déclarée précédente],MATCH($C39,tblMatières[Matière],0))</f>
        <v>2927.57</v>
      </c>
      <c r="E39" s="528">
        <f>INDEX(tblMatières[Taux précédent],MATCH($C39,tblMatières[Matière],0))</f>
        <v>205.15</v>
      </c>
      <c r="F39" s="173">
        <f>INDEX(tblMatières[Quantité déclarée (tonnes)],MATCH($C39,tblMatières[Matière],0))</f>
        <v>4037.5839999999998</v>
      </c>
      <c r="G39" s="528">
        <f>SUM(Tarif!H40:K41)/SUM(Tarif!G40:G41)</f>
        <v>221.64238884791826</v>
      </c>
      <c r="H39" s="529">
        <f>G39/E39-1</f>
        <v>8.0391853999113971E-2</v>
      </c>
      <c r="I39" s="295">
        <f>E39*(1+LimiteHausse)</f>
        <v>307.72500000000002</v>
      </c>
      <c r="J39" s="537">
        <f t="shared" ref="J39:J40" si="24">MAX((G39-I39)*F39,0)</f>
        <v>0</v>
      </c>
      <c r="K39" s="464">
        <f t="shared" ref="K39:K40" si="25">MIN((G39-I39)*F39,0)</f>
        <v>-347565.77346586692</v>
      </c>
      <c r="L39" s="529">
        <f t="shared" ref="L39:L40" si="26">K39/$K$49</f>
        <v>6.3582219495699217E-3</v>
      </c>
      <c r="M39" s="565">
        <f t="shared" ref="M39:M40" si="27">L39*$J$49-J39</f>
        <v>0</v>
      </c>
    </row>
    <row r="40" spans="2:13" x14ac:dyDescent="0.25">
      <c r="B40" s="46"/>
      <c r="C40" s="37" t="str">
        <f>INDEX(ListeMatières,26)</f>
        <v>Autres contenants et emballages en aluminium</v>
      </c>
      <c r="D40" s="160">
        <f>INDEX(tblMatières[Quantité déclarée précédente],MATCH($C40,tblMatières[Matière],0))</f>
        <v>2080.9479999999999</v>
      </c>
      <c r="E40" s="528">
        <f>INDEX(tblMatières[Taux précédent],MATCH($C40,tblMatières[Matière],0))</f>
        <v>205.15</v>
      </c>
      <c r="F40" s="173">
        <f>INDEX(tblMatières[Quantité déclarée (tonnes)],MATCH($C40,tblMatières[Matière],0))</f>
        <v>3963.2570000000001</v>
      </c>
      <c r="G40" s="528">
        <f>G39</f>
        <v>221.64238884791826</v>
      </c>
      <c r="H40" s="529">
        <f>G40/E40-1</f>
        <v>8.0391853999113971E-2</v>
      </c>
      <c r="I40" s="295">
        <f>E40*(1+LimiteHausse)</f>
        <v>307.72500000000002</v>
      </c>
      <c r="J40" s="537">
        <f t="shared" si="24"/>
        <v>0</v>
      </c>
      <c r="K40" s="464">
        <f t="shared" si="25"/>
        <v>-341167.51122676616</v>
      </c>
      <c r="L40" s="529">
        <f t="shared" si="26"/>
        <v>6.2411748335605257E-3</v>
      </c>
      <c r="M40" s="565">
        <f t="shared" si="27"/>
        <v>0</v>
      </c>
    </row>
    <row r="41" spans="2:13" x14ac:dyDescent="0.25">
      <c r="B41" s="43" t="str">
        <f>'Sommaire exécutif'!A40</f>
        <v>Aluminium TOTAL</v>
      </c>
      <c r="C41" s="10"/>
      <c r="D41" s="22">
        <f>SUBTOTAL(9,D39:D40)</f>
        <v>5008.518</v>
      </c>
      <c r="E41" s="22"/>
      <c r="F41" s="22">
        <f>SUBTOTAL(9,F39:F40)</f>
        <v>8000.8410000000003</v>
      </c>
      <c r="G41" s="22"/>
      <c r="H41" s="298"/>
      <c r="I41" s="298"/>
      <c r="J41" s="560">
        <f>SUBTOTAL(9,J39:J40)</f>
        <v>0</v>
      </c>
      <c r="K41" s="534">
        <f>SUBTOTAL(9,K39:K40)</f>
        <v>-688733.28469263308</v>
      </c>
      <c r="L41" s="87">
        <f>SUBTOTAL(9,L39:L40)</f>
        <v>1.2599396783130448E-2</v>
      </c>
      <c r="M41" s="534">
        <f>SUBTOTAL(9,M39:M40)</f>
        <v>0</v>
      </c>
    </row>
    <row r="42" spans="2:13" x14ac:dyDescent="0.25">
      <c r="B42" s="46" t="str">
        <f>'Sommaire exécutif'!A41</f>
        <v>Acier</v>
      </c>
      <c r="C42" s="37" t="str">
        <f>INDEX(ListeMatières,27)</f>
        <v>Bombes aérosol en acier</v>
      </c>
      <c r="D42" s="160">
        <f>INDEX(tblMatières[Quantité déclarée précédente],MATCH($C42,tblMatières[Matière],0))</f>
        <v>1674.4069999999999</v>
      </c>
      <c r="E42" s="528">
        <f>INDEX(tblMatières[Taux précédent],MATCH($C42,tblMatières[Matière],0))</f>
        <v>175.97</v>
      </c>
      <c r="F42" s="173">
        <f>INDEX(tblMatières[Quantité déclarée (tonnes)],MATCH($C42,tblMatières[Matière],0))</f>
        <v>1741.7629999999999</v>
      </c>
      <c r="G42" s="528">
        <f>SUM(Tarif!H43:K44)/SUM(Tarif!G43:G44)</f>
        <v>194.50884587508224</v>
      </c>
      <c r="H42" s="529">
        <f>G42/E42-1</f>
        <v>0.10535230934296891</v>
      </c>
      <c r="I42" s="295">
        <f>E42*(1+LimiteHausse)</f>
        <v>263.95499999999998</v>
      </c>
      <c r="J42" s="537">
        <f t="shared" ref="J42:J43" si="28">MAX((G42-I42)*F42,0)</f>
        <v>0</v>
      </c>
      <c r="K42" s="464">
        <f t="shared" ref="K42:K43" si="29">MIN((G42-I42)*F42,0)</f>
        <v>-120958.7417470791</v>
      </c>
      <c r="L42" s="529">
        <f t="shared" ref="L42:L43" si="30">K42/$K$49</f>
        <v>2.2127683031026831E-3</v>
      </c>
      <c r="M42" s="565">
        <f t="shared" ref="M42:M43" si="31">L42*$J$49-J42</f>
        <v>0</v>
      </c>
    </row>
    <row r="43" spans="2:13" x14ac:dyDescent="0.25">
      <c r="B43" s="46"/>
      <c r="C43" s="37" t="str">
        <f>INDEX(ListeMatières,28)</f>
        <v>Autres contenants en acier</v>
      </c>
      <c r="D43" s="160">
        <f>INDEX(tblMatières[Quantité déclarée précédente],MATCH($C43,tblMatières[Matière],0))</f>
        <v>26909.557000000001</v>
      </c>
      <c r="E43" s="528">
        <f>INDEX(tblMatières[Taux précédent],MATCH($C43,tblMatières[Matière],0))</f>
        <v>175.97</v>
      </c>
      <c r="F43" s="173">
        <f>INDEX(tblMatières[Quantité déclarée (tonnes)],MATCH($C43,tblMatières[Matière],0))</f>
        <v>25404.03</v>
      </c>
      <c r="G43" s="528">
        <f>G42</f>
        <v>194.50884587508224</v>
      </c>
      <c r="H43" s="529">
        <f>G43/E43-1</f>
        <v>0.10535230934296891</v>
      </c>
      <c r="I43" s="295">
        <f>E43*(1+LimiteHausse)</f>
        <v>263.95499999999998</v>
      </c>
      <c r="J43" s="537">
        <f t="shared" si="28"/>
        <v>0</v>
      </c>
      <c r="K43" s="464">
        <f t="shared" si="29"/>
        <v>-1764212.1827740339</v>
      </c>
      <c r="L43" s="529">
        <f t="shared" si="30"/>
        <v>3.2273755014355941E-2</v>
      </c>
      <c r="M43" s="565">
        <f t="shared" si="31"/>
        <v>0</v>
      </c>
    </row>
    <row r="44" spans="2:13" x14ac:dyDescent="0.25">
      <c r="B44" s="43" t="str">
        <f>'Sommaire exécutif'!A43</f>
        <v>Acier TOTAL</v>
      </c>
      <c r="C44" s="10"/>
      <c r="D44" s="22">
        <f t="shared" ref="D44:F44" si="32">SUBTOTAL(9,D42:D43)</f>
        <v>28583.964</v>
      </c>
      <c r="E44" s="22"/>
      <c r="F44" s="22">
        <f t="shared" si="32"/>
        <v>27145.792999999998</v>
      </c>
      <c r="G44" s="22"/>
      <c r="H44" s="298"/>
      <c r="I44" s="298"/>
      <c r="J44" s="560">
        <f t="shared" ref="J44:L44" si="33">SUBTOTAL(9,J42:J43)</f>
        <v>0</v>
      </c>
      <c r="K44" s="534">
        <f t="shared" si="33"/>
        <v>-1885170.924521113</v>
      </c>
      <c r="L44" s="87">
        <f t="shared" si="33"/>
        <v>3.4486523317458627E-2</v>
      </c>
      <c r="M44" s="534">
        <f t="shared" ref="M44" si="34">SUBTOTAL(9,M42:M43)</f>
        <v>0</v>
      </c>
    </row>
    <row r="45" spans="2:13" x14ac:dyDescent="0.25">
      <c r="B45" s="46" t="str">
        <f>'Sommaire exécutif'!A44</f>
        <v>Verre</v>
      </c>
      <c r="C45" s="37" t="str">
        <f>INDEX(ListeMatières,29)</f>
        <v>Verre clair</v>
      </c>
      <c r="D45" s="160">
        <f>INDEX(tblMatières[Quantité déclarée précédente],MATCH($C45,tblMatières[Matière],0))</f>
        <v>54262.898999999998</v>
      </c>
      <c r="E45" s="528">
        <f>INDEX(tblMatières[Taux précédent],MATCH($C45,tblMatières[Matière],0))</f>
        <v>208.19</v>
      </c>
      <c r="F45" s="173">
        <f>INDEX(tblMatières[Quantité déclarée (tonnes)],MATCH($C45,tblMatières[Matière],0))</f>
        <v>64834.576999999997</v>
      </c>
      <c r="G45" s="528">
        <f>SUM(Tarif!H46:K46)/Tarif!G46</f>
        <v>234.47398182829252</v>
      </c>
      <c r="H45" s="529">
        <f>G45/E45-1</f>
        <v>0.12624997275706096</v>
      </c>
      <c r="I45" s="295">
        <f>E45*(1+LimiteHausse)</f>
        <v>312.28499999999997</v>
      </c>
      <c r="J45" s="537">
        <f t="shared" ref="J45:J47" si="35">MAX((G45-I45)*F45,0)</f>
        <v>0</v>
      </c>
      <c r="K45" s="464">
        <f t="shared" ref="K45:K47" si="36">MIN((G45-I45)*F45,0)</f>
        <v>-5044844.4491019649</v>
      </c>
      <c r="L45" s="529">
        <f t="shared" ref="L45:L47" si="37">K45/$K$49</f>
        <v>9.2288260689731505E-2</v>
      </c>
      <c r="M45" s="565">
        <f t="shared" ref="M45:M47" si="38">L45*$J$49-J45</f>
        <v>0</v>
      </c>
    </row>
    <row r="46" spans="2:13" x14ac:dyDescent="0.25">
      <c r="B46" s="46"/>
      <c r="C46" s="39" t="str">
        <f>INDEX(ListeMatières,30)</f>
        <v>Verre coloré</v>
      </c>
      <c r="D46" s="160">
        <f>INDEX(tblMatières[Quantité déclarée précédente],MATCH($C46,tblMatières[Matière],0))</f>
        <v>82425.142000000007</v>
      </c>
      <c r="E46" s="528">
        <f>INDEX(tblMatières[Taux précédent],MATCH($C46,tblMatières[Matière],0))</f>
        <v>209.35</v>
      </c>
      <c r="F46" s="173">
        <f>INDEX(tblMatières[Quantité déclarée (tonnes)],MATCH($C46,tblMatières[Matière],0))</f>
        <v>85096.618000000002</v>
      </c>
      <c r="G46" s="528">
        <f>SUM(Tarif!H47:K47)/Tarif!G47</f>
        <v>235.7936999532476</v>
      </c>
      <c r="H46" s="529">
        <f>G46/E46-1</f>
        <v>0.12631335062454063</v>
      </c>
      <c r="I46" s="295">
        <f>E46*(1+LimiteHausse)</f>
        <v>314.02499999999998</v>
      </c>
      <c r="J46" s="537">
        <f t="shared" si="35"/>
        <v>0</v>
      </c>
      <c r="K46" s="464">
        <f t="shared" si="36"/>
        <v>-6657219.0557218697</v>
      </c>
      <c r="L46" s="529">
        <f t="shared" si="37"/>
        <v>0.12178436300300097</v>
      </c>
      <c r="M46" s="565">
        <f t="shared" si="38"/>
        <v>0</v>
      </c>
    </row>
    <row r="47" spans="2:13" x14ac:dyDescent="0.25">
      <c r="B47" s="46"/>
      <c r="C47" s="239" t="str">
        <f>INDEX(ListeMatières,31)</f>
        <v>Céramique</v>
      </c>
      <c r="D47" s="160">
        <f>INDEX(tblMatières[Quantité déclarée précédente],MATCH($C47,tblMatières[Matière],0))</f>
        <v>0</v>
      </c>
      <c r="E47" s="528">
        <f>INDEX(tblMatières[Taux précédent],MATCH($C47,tblMatières[Matière],0))</f>
        <v>0</v>
      </c>
      <c r="F47" s="173">
        <f>INDEX(tblMatières[Quantité déclarée (tonnes)],MATCH($C47,tblMatières[Matière],0))</f>
        <v>678</v>
      </c>
      <c r="G47" s="528">
        <f>SUM(Tarif!H49:K49)/Tarif!G49</f>
        <v>235.90188564807653</v>
      </c>
      <c r="H47" s="529">
        <v>0</v>
      </c>
      <c r="I47" s="295">
        <f>G47</f>
        <v>235.90188564807653</v>
      </c>
      <c r="J47" s="537">
        <f t="shared" si="35"/>
        <v>0</v>
      </c>
      <c r="K47" s="464">
        <f t="shared" si="36"/>
        <v>0</v>
      </c>
      <c r="L47" s="529">
        <f t="shared" si="37"/>
        <v>0</v>
      </c>
      <c r="M47" s="565">
        <f t="shared" si="38"/>
        <v>0</v>
      </c>
    </row>
    <row r="48" spans="2:13" x14ac:dyDescent="0.25">
      <c r="B48" s="43" t="str">
        <f>'Sommaire exécutif'!A47</f>
        <v>Verre TOTAL</v>
      </c>
      <c r="C48" s="10"/>
      <c r="D48" s="164">
        <f t="shared" ref="D48:F48" si="39">SUBTOTAL(9,D45:D46)</f>
        <v>136688.041</v>
      </c>
      <c r="E48" s="22"/>
      <c r="F48" s="22">
        <f t="shared" si="39"/>
        <v>149931.19500000001</v>
      </c>
      <c r="G48" s="563"/>
      <c r="H48" s="298"/>
      <c r="I48" s="298"/>
      <c r="J48" s="560">
        <f t="shared" ref="J48:K48" si="40">SUBTOTAL(9,J45:J46)</f>
        <v>0</v>
      </c>
      <c r="K48" s="534">
        <f t="shared" si="40"/>
        <v>-11702063.504823834</v>
      </c>
      <c r="L48" s="87">
        <f t="shared" ref="L48:M48" si="41">SUBTOTAL(9,L45:L46)</f>
        <v>0.21407262369273247</v>
      </c>
      <c r="M48" s="534">
        <f t="shared" si="41"/>
        <v>0</v>
      </c>
    </row>
    <row r="49" spans="2:13" ht="15.75" thickBot="1" x14ac:dyDescent="0.3">
      <c r="B49" s="56" t="str">
        <f>'Sommaire exécutif'!A48</f>
        <v>CONTENANTS ET EMBALLAGES TOTAL</v>
      </c>
      <c r="C49" s="23"/>
      <c r="D49" s="526">
        <f>SUBTOTAL(9,D19:D48)</f>
        <v>483750.19400000002</v>
      </c>
      <c r="E49" s="21"/>
      <c r="F49" s="21">
        <f>SUBTOTAL(9,F19:F48)</f>
        <v>524256.67600000004</v>
      </c>
      <c r="G49" s="564"/>
      <c r="H49" s="299"/>
      <c r="I49" s="299"/>
      <c r="J49" s="561">
        <f>SUBTOTAL(9,J19:J48)</f>
        <v>0</v>
      </c>
      <c r="K49" s="535">
        <f>SUBTOTAL(9,K19:K48)</f>
        <v>-54663988.8041934</v>
      </c>
      <c r="L49" s="180">
        <f>SUBTOTAL(9,L19:L48)</f>
        <v>1.0000000000000002</v>
      </c>
      <c r="M49" s="535">
        <f>SUBTOTAL(9,M19:M48)</f>
        <v>0</v>
      </c>
    </row>
    <row r="50" spans="2:13" ht="8.25" customHeight="1" x14ac:dyDescent="0.25">
      <c r="B50" s="259"/>
      <c r="C50" s="35"/>
      <c r="D50" s="113"/>
      <c r="E50" s="141"/>
      <c r="F50" s="141"/>
      <c r="G50" s="37"/>
      <c r="H50" s="295"/>
      <c r="I50" s="295"/>
      <c r="J50" s="295"/>
      <c r="K50" s="295"/>
      <c r="L50" s="17"/>
      <c r="M50" s="295"/>
    </row>
    <row r="51" spans="2:13" ht="15.75" thickBot="1" x14ac:dyDescent="0.3">
      <c r="B51" s="57" t="str">
        <f>'Sommaire exécutif'!A50</f>
        <v>TOTAL</v>
      </c>
      <c r="C51" s="14"/>
      <c r="D51" s="165">
        <f>SUBTOTAL(9,D10:D49)</f>
        <v>644994.44999999995</v>
      </c>
      <c r="E51" s="217"/>
      <c r="F51" s="217">
        <f>SUBTOTAL(9,F10:F49)</f>
        <v>622392.90399999998</v>
      </c>
      <c r="G51" s="25"/>
      <c r="H51" s="301"/>
      <c r="I51" s="301"/>
      <c r="J51" s="562">
        <f>SUBTOTAL(9,J10:J49)</f>
        <v>0</v>
      </c>
      <c r="K51" s="533">
        <f>SUBTOTAL(9,K10:K49)</f>
        <v>-59034300.307512648</v>
      </c>
      <c r="L51" s="241"/>
      <c r="M51" s="533">
        <f>SUBTOTAL(9,M10:M49)</f>
        <v>0</v>
      </c>
    </row>
    <row r="52" spans="2:13" ht="15.75" thickTop="1" x14ac:dyDescent="0.25"/>
  </sheetData>
  <sheetProtection algorithmName="SHA-512" hashValue="A31UkDYw8IUkMwmWvDSBE/nH3CBra3T2Df7yr4TBKXWg0OLJzJru3cDRF9UPPnPbBv1lXeLj5MEd6gfQaemW6A==" saltValue="tmzySte1/5woFJfDf9rcdQ==" spinCount="100000" sheet="1" objects="1" scenarios="1" selectLockedCells="1"/>
  <mergeCells count="1">
    <mergeCell ref="D6:M6"/>
  </mergeCells>
  <pageMargins left="0.7" right="0.7" top="0.75" bottom="0.75" header="0.3" footer="0.3"/>
  <pageSetup scale="52" fitToHeight="0"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rgb="FFFFC000"/>
    <pageSetUpPr fitToPage="1"/>
  </sheetPr>
  <dimension ref="B1:K53"/>
  <sheetViews>
    <sheetView showGridLines="0" zoomScale="80" zoomScaleNormal="80" zoomScaleSheetLayoutView="90" workbookViewId="0">
      <pane xSplit="3" ySplit="5" topLeftCell="D6" activePane="bottomRight" state="frozen"/>
      <selection activeCell="C18" sqref="C18"/>
      <selection pane="topRight" activeCell="C18" sqref="C18"/>
      <selection pane="bottomLeft" activeCell="C18" sqref="C18"/>
      <selection pane="bottomRight"/>
    </sheetView>
  </sheetViews>
  <sheetFormatPr baseColWidth="10" defaultColWidth="9.140625" defaultRowHeight="14.25" x14ac:dyDescent="0.2"/>
  <cols>
    <col min="1" max="1" width="1.42578125" style="35" customWidth="1"/>
    <col min="2" max="2" width="18.28515625" style="229" customWidth="1"/>
    <col min="3" max="3" width="59.140625" style="229" bestFit="1" customWidth="1"/>
    <col min="4" max="4" width="17.7109375" style="35" customWidth="1"/>
    <col min="5" max="5" width="13.5703125" style="35" customWidth="1"/>
    <col min="6" max="6" width="7.85546875" style="35" customWidth="1"/>
    <col min="7" max="7" width="19.42578125" style="35" bestFit="1" customWidth="1"/>
    <col min="8" max="8" width="21.85546875" style="35" bestFit="1" customWidth="1"/>
    <col min="9" max="11" width="21.85546875" style="35" customWidth="1"/>
    <col min="12" max="16384" width="9.140625" style="35"/>
  </cols>
  <sheetData>
    <row r="1" spans="2:11" s="37" customFormat="1" ht="15.75" thickBot="1" x14ac:dyDescent="0.3">
      <c r="B1" s="240" t="s">
        <v>6</v>
      </c>
      <c r="C1" s="228"/>
      <c r="D1" s="36"/>
      <c r="E1" s="36"/>
      <c r="F1" s="36"/>
      <c r="G1" s="36"/>
      <c r="H1" s="36"/>
      <c r="I1" s="36"/>
      <c r="J1" s="36"/>
      <c r="K1" s="36"/>
    </row>
    <row r="3" spans="2:11" ht="27" customHeight="1" x14ac:dyDescent="0.2">
      <c r="B3" s="665" t="s">
        <v>114</v>
      </c>
      <c r="C3" s="666"/>
      <c r="D3" s="666"/>
      <c r="E3" s="666"/>
      <c r="F3" s="666"/>
      <c r="G3" s="666"/>
      <c r="H3" s="666"/>
      <c r="I3" s="666"/>
      <c r="J3" s="666"/>
      <c r="K3" s="666"/>
    </row>
    <row r="4" spans="2:11" s="250" customFormat="1" ht="30" x14ac:dyDescent="0.25">
      <c r="B4" s="247" t="str">
        <f>'Sommaire exécutif'!A7</f>
        <v>CATÉGORIE</v>
      </c>
      <c r="C4" s="247" t="str">
        <f>'Sommaire exécutif'!B7</f>
        <v>Matière</v>
      </c>
      <c r="D4" s="248" t="s">
        <v>46</v>
      </c>
      <c r="E4" s="673" t="s">
        <v>113</v>
      </c>
      <c r="F4" s="674"/>
      <c r="G4" s="675"/>
      <c r="H4" s="249" t="str">
        <f>'Sommaire exécutif'!C7</f>
        <v>Quantité déclarée 
(tonnes)</v>
      </c>
      <c r="I4" s="523" t="s">
        <v>195</v>
      </c>
      <c r="J4" s="523" t="s">
        <v>196</v>
      </c>
      <c r="K4" s="523" t="s">
        <v>197</v>
      </c>
    </row>
    <row r="5" spans="2:11" ht="17.25" x14ac:dyDescent="0.25">
      <c r="B5" s="230" t="str">
        <f>'Sommaire exécutif'!A8</f>
        <v>IMPRIMÉS</v>
      </c>
      <c r="C5" s="230"/>
      <c r="D5" s="10"/>
      <c r="E5" s="83" t="s">
        <v>49</v>
      </c>
      <c r="F5" s="81" t="s">
        <v>211</v>
      </c>
      <c r="G5" s="84" t="s">
        <v>50</v>
      </c>
      <c r="H5" s="81"/>
      <c r="I5" s="81"/>
      <c r="J5" s="81"/>
      <c r="K5" s="81"/>
    </row>
    <row r="6" spans="2:11" x14ac:dyDescent="0.2">
      <c r="B6" s="235"/>
      <c r="C6" s="37" t="str">
        <f>INDEX(ListeMatières,1)</f>
        <v>Encarts et circulaires imprimés sur du papier journal</v>
      </c>
      <c r="D6" s="398" t="s">
        <v>47</v>
      </c>
      <c r="E6" s="284">
        <f t="shared" ref="E6:E11" si="0">TonnageCrédit</f>
        <v>0.05</v>
      </c>
      <c r="F6" s="399">
        <v>2.5000000000000001E-2</v>
      </c>
      <c r="G6" s="291">
        <f>IF(D6 = $B$53,IF(F6="",E6,F6),0)</f>
        <v>2.5000000000000001E-2</v>
      </c>
      <c r="H6" s="141">
        <f>INDEX(tblMatières[Quantité déclarée (tonnes)],MATCH($C6,tblMatières[Matière],0))</f>
        <v>65368.142999999996</v>
      </c>
      <c r="I6" s="524">
        <f>SUM(Tarif!H11:L11)/'Crédit contenu recyclé'!H6</f>
        <v>396.60071931929588</v>
      </c>
      <c r="J6" s="524">
        <f t="shared" ref="J6:J11" si="1">I6 / (1 - G6 * RabaisCrédit)</f>
        <v>398.59368775808633</v>
      </c>
      <c r="K6" s="566">
        <f>(J6-I6)*H6</f>
        <v>130276.64590134125</v>
      </c>
    </row>
    <row r="7" spans="2:11" x14ac:dyDescent="0.2">
      <c r="B7" s="235"/>
      <c r="C7" s="37" t="str">
        <f>INDEX(ListeMatières,2)</f>
        <v>Catalogues et publications</v>
      </c>
      <c r="D7" s="398" t="s">
        <v>47</v>
      </c>
      <c r="E7" s="284">
        <f t="shared" si="0"/>
        <v>0.05</v>
      </c>
      <c r="F7" s="399">
        <v>2.5000000000000001E-2</v>
      </c>
      <c r="G7" s="291">
        <f t="shared" ref="G7:G11" si="2">IF(D7 = $B$53,IF(F7="",E7,F7),0)</f>
        <v>2.5000000000000001E-2</v>
      </c>
      <c r="H7" s="141">
        <f>INDEX(tblMatières[Quantité déclarée (tonnes)],MATCH($C7,tblMatières[Matière],0))</f>
        <v>5387.2479999999996</v>
      </c>
      <c r="I7" s="524">
        <f>SUM(Tarif!$H$12:$L$16)/SUM(Tarif!$G$12:$G$16)</f>
        <v>588.57337594763783</v>
      </c>
      <c r="J7" s="524">
        <f t="shared" si="1"/>
        <v>591.53103110315362</v>
      </c>
      <c r="K7" s="566">
        <f t="shared" ref="K7:K11" si="3">(J7-I7)*H7</f>
        <v>15933.621821242154</v>
      </c>
    </row>
    <row r="8" spans="2:11" x14ac:dyDescent="0.2">
      <c r="B8" s="235"/>
      <c r="C8" s="37" t="str">
        <f>INDEX(ListeMatières,3)</f>
        <v>Magazines</v>
      </c>
      <c r="D8" s="398" t="s">
        <v>47</v>
      </c>
      <c r="E8" s="284">
        <f t="shared" si="0"/>
        <v>0.05</v>
      </c>
      <c r="F8" s="399">
        <v>2.5000000000000001E-2</v>
      </c>
      <c r="G8" s="291">
        <f t="shared" si="2"/>
        <v>2.5000000000000001E-2</v>
      </c>
      <c r="H8" s="141">
        <f>INDEX(tblMatières[Quantité déclarée (tonnes)],MATCH($C8,tblMatières[Matière],0))</f>
        <v>3004.6579999999999</v>
      </c>
      <c r="I8" s="524">
        <f>I7</f>
        <v>588.57337594763783</v>
      </c>
      <c r="J8" s="524">
        <f t="shared" si="1"/>
        <v>591.53103110315362</v>
      </c>
      <c r="K8" s="566">
        <f t="shared" si="3"/>
        <v>8886.7422242617777</v>
      </c>
    </row>
    <row r="9" spans="2:11" x14ac:dyDescent="0.2">
      <c r="B9" s="235"/>
      <c r="C9" s="37" t="str">
        <f>INDEX(ListeMatières,4)</f>
        <v>Annuaires téléphoniques</v>
      </c>
      <c r="D9" s="398" t="s">
        <v>47</v>
      </c>
      <c r="E9" s="284">
        <f t="shared" si="0"/>
        <v>0.05</v>
      </c>
      <c r="F9" s="399">
        <v>2.5000000000000001E-2</v>
      </c>
      <c r="G9" s="291">
        <f t="shared" si="2"/>
        <v>2.5000000000000001E-2</v>
      </c>
      <c r="H9" s="141">
        <f>INDEX(tblMatières[Quantité déclarée (tonnes)],MATCH($C9,tblMatières[Matière],0))</f>
        <v>320.28500000000003</v>
      </c>
      <c r="I9" s="524">
        <f>I8</f>
        <v>588.57337594763783</v>
      </c>
      <c r="J9" s="524">
        <f t="shared" si="1"/>
        <v>591.53103110315362</v>
      </c>
      <c r="K9" s="566">
        <f t="shared" si="3"/>
        <v>947.29258148437646</v>
      </c>
    </row>
    <row r="10" spans="2:11" x14ac:dyDescent="0.2">
      <c r="B10" s="235"/>
      <c r="C10" s="37" t="str">
        <f>INDEX(ListeMatières,5)</f>
        <v>Papier à usage général</v>
      </c>
      <c r="D10" s="398" t="s">
        <v>47</v>
      </c>
      <c r="E10" s="284">
        <f t="shared" si="0"/>
        <v>0.05</v>
      </c>
      <c r="F10" s="399">
        <v>2.5000000000000001E-2</v>
      </c>
      <c r="G10" s="291">
        <f t="shared" si="2"/>
        <v>2.5000000000000001E-2</v>
      </c>
      <c r="H10" s="141">
        <f>INDEX(tblMatières[Quantité déclarée (tonnes)],MATCH($C10,tblMatières[Matière],0))</f>
        <v>5107.7979999999998</v>
      </c>
      <c r="I10" s="524">
        <f>I9</f>
        <v>588.57337594763783</v>
      </c>
      <c r="J10" s="524">
        <f t="shared" si="1"/>
        <v>591.53103110315362</v>
      </c>
      <c r="K10" s="566">
        <f t="shared" si="3"/>
        <v>15107.105088033266</v>
      </c>
    </row>
    <row r="11" spans="2:11" x14ac:dyDescent="0.2">
      <c r="B11" s="235"/>
      <c r="C11" s="37" t="str">
        <f>INDEX(ListeMatières,6)</f>
        <v>Autres imprimés</v>
      </c>
      <c r="D11" s="398" t="s">
        <v>47</v>
      </c>
      <c r="E11" s="284">
        <f t="shared" si="0"/>
        <v>0.05</v>
      </c>
      <c r="F11" s="399">
        <v>2.5000000000000001E-2</v>
      </c>
      <c r="G11" s="291">
        <f t="shared" si="2"/>
        <v>2.5000000000000001E-2</v>
      </c>
      <c r="H11" s="141">
        <f>INDEX(tblMatières[Quantité déclarée (tonnes)],MATCH($C11,tblMatières[Matière],0))</f>
        <v>18948.096000000001</v>
      </c>
      <c r="I11" s="524">
        <f>I10</f>
        <v>588.57337594763783</v>
      </c>
      <c r="J11" s="524">
        <f t="shared" si="1"/>
        <v>591.53103110315362</v>
      </c>
      <c r="K11" s="566">
        <f t="shared" si="3"/>
        <v>56041.933821608211</v>
      </c>
    </row>
    <row r="12" spans="2:11" ht="15.75" thickBot="1" x14ac:dyDescent="0.3">
      <c r="B12" s="231" t="str">
        <f>'Sommaire exécutif'!A15</f>
        <v>IMPRIMÉS TOTAL</v>
      </c>
      <c r="C12" s="231"/>
      <c r="D12" s="20"/>
      <c r="E12" s="285"/>
      <c r="F12" s="286"/>
      <c r="G12" s="292"/>
      <c r="H12" s="21">
        <f>SUBTOTAL(9,H6:H11)</f>
        <v>98136.228000000003</v>
      </c>
      <c r="I12" s="21"/>
      <c r="J12" s="21"/>
      <c r="K12" s="538">
        <f>SUBTOTAL(9,K6:K11)</f>
        <v>227193.34143797104</v>
      </c>
    </row>
    <row r="13" spans="2:11" x14ac:dyDescent="0.2">
      <c r="B13" s="235"/>
      <c r="C13" s="235"/>
      <c r="D13" s="66"/>
      <c r="E13" s="284"/>
      <c r="F13" s="287"/>
      <c r="G13" s="293"/>
      <c r="H13" s="141"/>
      <c r="I13" s="141"/>
      <c r="J13" s="141"/>
      <c r="K13" s="539"/>
    </row>
    <row r="14" spans="2:11" ht="15" x14ac:dyDescent="0.25">
      <c r="B14" s="230" t="str">
        <f>'Sommaire exécutif'!A17</f>
        <v>CONTENANTS ET EMBALLAGES</v>
      </c>
      <c r="C14" s="232"/>
      <c r="D14" s="11"/>
      <c r="E14" s="288"/>
      <c r="F14" s="289"/>
      <c r="G14" s="294"/>
      <c r="H14" s="216"/>
      <c r="I14" s="216"/>
      <c r="J14" s="216"/>
      <c r="K14" s="540"/>
    </row>
    <row r="15" spans="2:11" x14ac:dyDescent="0.2">
      <c r="B15" s="235" t="str">
        <f>'Sommaire exécutif'!A18</f>
        <v>Papier et carton</v>
      </c>
      <c r="C15" s="37" t="str">
        <f>INDEX(ListeMatières,7)</f>
        <v>Carton ondulé</v>
      </c>
      <c r="D15" s="398" t="s">
        <v>48</v>
      </c>
      <c r="E15" s="284">
        <f t="shared" ref="E15:E21" si="4">TonnageCrédit</f>
        <v>0.05</v>
      </c>
      <c r="F15" s="400"/>
      <c r="G15" s="293">
        <f t="shared" ref="G15:G21" si="5">IF(D15 = $B$53,IF(F15="",E15,F15),0)</f>
        <v>0</v>
      </c>
      <c r="H15" s="141">
        <f>INDEX(tblMatières[Quantité déclarée (tonnes)],MATCH($C15,tblMatières[Matière],0))</f>
        <v>58408.389000000003</v>
      </c>
      <c r="I15" s="524">
        <f>SUM(Tarif!$H$20:$L$22)/SUM(Tarif!$G$20:$G$22)</f>
        <v>245.26474177310016</v>
      </c>
      <c r="J15" s="524">
        <f t="shared" ref="J15:J21" si="6">I15 / (1 - G15 * RabaisCrédit)</f>
        <v>245.26474177310016</v>
      </c>
      <c r="K15" s="566">
        <f t="shared" ref="K15:K21" si="7">(J15-I15)*H15</f>
        <v>0</v>
      </c>
    </row>
    <row r="16" spans="2:11" x14ac:dyDescent="0.2">
      <c r="B16" s="235"/>
      <c r="C16" s="37" t="str">
        <f>INDEX(ListeMatières,8)</f>
        <v>Sacs de papier kraft</v>
      </c>
      <c r="D16" s="398" t="s">
        <v>47</v>
      </c>
      <c r="E16" s="284">
        <f t="shared" si="4"/>
        <v>0.05</v>
      </c>
      <c r="F16" s="400">
        <v>0</v>
      </c>
      <c r="G16" s="293">
        <f t="shared" si="5"/>
        <v>0</v>
      </c>
      <c r="H16" s="141">
        <f>INDEX(tblMatières[Quantité déclarée (tonnes)],MATCH($C16,tblMatières[Matière],0))</f>
        <v>3906.12</v>
      </c>
      <c r="I16" s="524">
        <f>I15</f>
        <v>245.26474177310016</v>
      </c>
      <c r="J16" s="524">
        <f t="shared" si="6"/>
        <v>245.26474177310016</v>
      </c>
      <c r="K16" s="566">
        <f t="shared" si="7"/>
        <v>0</v>
      </c>
    </row>
    <row r="17" spans="2:11" x14ac:dyDescent="0.2">
      <c r="B17" s="235"/>
      <c r="C17" s="37" t="str">
        <f>INDEX(ListeMatières,9)</f>
        <v>Emballages de papier kraft</v>
      </c>
      <c r="D17" s="398" t="s">
        <v>47</v>
      </c>
      <c r="E17" s="284">
        <f t="shared" si="4"/>
        <v>0.05</v>
      </c>
      <c r="F17" s="400">
        <v>0</v>
      </c>
      <c r="G17" s="293">
        <f t="shared" si="5"/>
        <v>0</v>
      </c>
      <c r="H17" s="141">
        <f>INDEX(tblMatières[Quantité déclarée (tonnes)],MATCH($C17,tblMatières[Matière],0))</f>
        <v>2207.5160000000001</v>
      </c>
      <c r="I17" s="524">
        <f>I15</f>
        <v>245.26474177310016</v>
      </c>
      <c r="J17" s="524">
        <f t="shared" si="6"/>
        <v>245.26474177310016</v>
      </c>
      <c r="K17" s="566">
        <f t="shared" si="7"/>
        <v>0</v>
      </c>
    </row>
    <row r="18" spans="2:11" x14ac:dyDescent="0.2">
      <c r="B18" s="235"/>
      <c r="C18" s="37" t="str">
        <f>INDEX(ListeMatières,10)</f>
        <v>Carton plat et autres emballages de papier</v>
      </c>
      <c r="D18" s="398" t="s">
        <v>48</v>
      </c>
      <c r="E18" s="284">
        <f t="shared" si="4"/>
        <v>0.05</v>
      </c>
      <c r="F18" s="400"/>
      <c r="G18" s="293">
        <f t="shared" si="5"/>
        <v>0</v>
      </c>
      <c r="H18" s="141">
        <f>INDEX(tblMatières[Quantité déclarée (tonnes)],MATCH($C18,tblMatières[Matière],0))</f>
        <v>92654.394</v>
      </c>
      <c r="I18" s="524">
        <f>SUM(Tarif!H23:L23)/H18</f>
        <v>269.44942169889833</v>
      </c>
      <c r="J18" s="524">
        <f t="shared" si="6"/>
        <v>269.44942169889833</v>
      </c>
      <c r="K18" s="566">
        <f t="shared" si="7"/>
        <v>0</v>
      </c>
    </row>
    <row r="19" spans="2:11" x14ac:dyDescent="0.2">
      <c r="B19" s="235"/>
      <c r="C19" s="37" t="str">
        <f>INDEX(ListeMatières,11)</f>
        <v>Contenants à pignon</v>
      </c>
      <c r="D19" s="398" t="s">
        <v>48</v>
      </c>
      <c r="E19" s="284">
        <f t="shared" si="4"/>
        <v>0.05</v>
      </c>
      <c r="F19" s="400"/>
      <c r="G19" s="293">
        <f t="shared" si="5"/>
        <v>0</v>
      </c>
      <c r="H19" s="141">
        <f>INDEX(tblMatières[Quantité déclarée (tonnes)],MATCH($C19,tblMatières[Matière],0))</f>
        <v>9680.7970000000005</v>
      </c>
      <c r="I19" s="524">
        <f>SUM(Tarif!H24:L24)/H19</f>
        <v>254.16320699725932</v>
      </c>
      <c r="J19" s="524">
        <f t="shared" si="6"/>
        <v>254.16320699725932</v>
      </c>
      <c r="K19" s="566">
        <f t="shared" si="7"/>
        <v>0</v>
      </c>
    </row>
    <row r="20" spans="2:11" x14ac:dyDescent="0.2">
      <c r="B20" s="235"/>
      <c r="C20" s="37" t="str">
        <f>INDEX(ListeMatières,12)</f>
        <v>Laminés de papier</v>
      </c>
      <c r="D20" s="398" t="s">
        <v>47</v>
      </c>
      <c r="E20" s="284">
        <f t="shared" si="4"/>
        <v>0.05</v>
      </c>
      <c r="F20" s="400">
        <v>0</v>
      </c>
      <c r="G20" s="293">
        <f t="shared" si="5"/>
        <v>0</v>
      </c>
      <c r="H20" s="141">
        <f>INDEX(tblMatières[Quantité déclarée (tonnes)],MATCH($C20,tblMatières[Matière],0))</f>
        <v>13115.505999999999</v>
      </c>
      <c r="I20" s="524">
        <f>SUM(Tarif!H25:L25)/H20</f>
        <v>386.32822863415845</v>
      </c>
      <c r="J20" s="524">
        <f t="shared" si="6"/>
        <v>386.32822863415845</v>
      </c>
      <c r="K20" s="566">
        <f t="shared" si="7"/>
        <v>0</v>
      </c>
    </row>
    <row r="21" spans="2:11" x14ac:dyDescent="0.2">
      <c r="B21" s="235"/>
      <c r="C21" s="37" t="str">
        <f>INDEX(ListeMatières,13)</f>
        <v>Contenants aseptiques</v>
      </c>
      <c r="D21" s="398" t="s">
        <v>48</v>
      </c>
      <c r="E21" s="284">
        <f t="shared" si="4"/>
        <v>0.05</v>
      </c>
      <c r="F21" s="400"/>
      <c r="G21" s="293">
        <f t="shared" si="5"/>
        <v>0</v>
      </c>
      <c r="H21" s="141">
        <f>INDEX(tblMatières[Quantité déclarée (tonnes)],MATCH($C21,tblMatières[Matière],0))</f>
        <v>5539.04</v>
      </c>
      <c r="I21" s="524">
        <f>SUM(Tarif!H26:L26)/H21</f>
        <v>314.93617435320243</v>
      </c>
      <c r="J21" s="524">
        <f t="shared" si="6"/>
        <v>314.93617435320243</v>
      </c>
      <c r="K21" s="566">
        <f t="shared" si="7"/>
        <v>0</v>
      </c>
    </row>
    <row r="22" spans="2:11" ht="15" x14ac:dyDescent="0.25">
      <c r="B22" s="230" t="str">
        <f>'Sommaire exécutif'!A25</f>
        <v>Papier et carton TOTAL</v>
      </c>
      <c r="C22" s="230"/>
      <c r="D22" s="10"/>
      <c r="E22" s="83"/>
      <c r="F22" s="290"/>
      <c r="G22" s="84"/>
      <c r="H22" s="22">
        <f>SUBTOTAL(9,H15:H21)</f>
        <v>185511.76199999999</v>
      </c>
      <c r="I22" s="22"/>
      <c r="J22" s="22"/>
      <c r="K22" s="541">
        <f>SUBTOTAL(9,K15:K21)</f>
        <v>0</v>
      </c>
    </row>
    <row r="23" spans="2:11" x14ac:dyDescent="0.2">
      <c r="B23" s="235" t="str">
        <f>'Sommaire exécutif'!A26</f>
        <v>Plastique</v>
      </c>
      <c r="C23" s="37" t="str">
        <f>INDEX(ListeMatières,14)</f>
        <v>Bouteilles PET</v>
      </c>
      <c r="D23" s="398" t="s">
        <v>47</v>
      </c>
      <c r="E23" s="284">
        <f t="shared" ref="E23:E33" si="8">TonnageCrédit</f>
        <v>0.05</v>
      </c>
      <c r="F23" s="399">
        <v>9.2999999999999999E-2</v>
      </c>
      <c r="G23" s="291">
        <f t="shared" ref="G23:G33" si="9">IF(D23 = $B$53,IF(F23="",E23,F23),0)</f>
        <v>9.2999999999999999E-2</v>
      </c>
      <c r="H23" s="141">
        <f>INDEX(tblMatières[Quantité déclarée (tonnes)],MATCH($C23,tblMatières[Matière],0))</f>
        <v>31023.692999999999</v>
      </c>
      <c r="I23" s="524">
        <f>SUM(Tarif!$H$28:$L$28)/(Tarif!$G$28+Tarif!$G$36)</f>
        <v>334.31842981450188</v>
      </c>
      <c r="J23" s="524">
        <f t="shared" ref="J23:J33" si="10">I23 / (1 - G23 * RabaisCrédit)</f>
        <v>340.65460547636218</v>
      </c>
      <c r="K23" s="566">
        <f t="shared" ref="K23:K33" si="11">(J23-I23)*H23</f>
        <v>196571.56852762561</v>
      </c>
    </row>
    <row r="24" spans="2:11" x14ac:dyDescent="0.2">
      <c r="B24" s="235"/>
      <c r="C24" s="37" t="str">
        <f>INDEX(ListeMatières,15)</f>
        <v>Bouteilles, tous formats, et contenants &lt; 5l. HDPE</v>
      </c>
      <c r="D24" s="398" t="s">
        <v>47</v>
      </c>
      <c r="E24" s="284">
        <f t="shared" si="8"/>
        <v>0.05</v>
      </c>
      <c r="F24" s="400">
        <v>0</v>
      </c>
      <c r="G24" s="293">
        <f t="shared" si="9"/>
        <v>0</v>
      </c>
      <c r="H24" s="141">
        <f>INDEX(tblMatières[Quantité déclarée (tonnes)],MATCH($C24,tblMatières[Matière],0))</f>
        <v>20311.441999999999</v>
      </c>
      <c r="I24" s="524">
        <f>SUM(Tarif!H29:L29)/H24</f>
        <v>185.78585662022243</v>
      </c>
      <c r="J24" s="524">
        <f t="shared" si="10"/>
        <v>185.78585662022243</v>
      </c>
      <c r="K24" s="566">
        <f t="shared" si="11"/>
        <v>0</v>
      </c>
    </row>
    <row r="25" spans="2:11" x14ac:dyDescent="0.2">
      <c r="B25" s="235"/>
      <c r="C25" s="37" t="str">
        <f>INDEX(ListeMatières,16)</f>
        <v>Plastiques stratifiés</v>
      </c>
      <c r="D25" s="398" t="s">
        <v>48</v>
      </c>
      <c r="E25" s="284">
        <f t="shared" si="8"/>
        <v>0.05</v>
      </c>
      <c r="F25" s="400"/>
      <c r="G25" s="293">
        <f t="shared" si="9"/>
        <v>0</v>
      </c>
      <c r="H25" s="141">
        <f>INDEX(tblMatières[Quantité déclarée (tonnes)],MATCH($C25,tblMatières[Matière],0))</f>
        <v>15885.589</v>
      </c>
      <c r="I25" s="524">
        <f>SUM(Tarif!$H$30:$L$32)/SUM(Tarif!$G$30:$G$32)</f>
        <v>618.1690873784745</v>
      </c>
      <c r="J25" s="524">
        <f t="shared" si="10"/>
        <v>618.1690873784745</v>
      </c>
      <c r="K25" s="566">
        <f t="shared" si="11"/>
        <v>0</v>
      </c>
    </row>
    <row r="26" spans="2:11" x14ac:dyDescent="0.2">
      <c r="B26" s="235"/>
      <c r="C26" s="37" t="str">
        <f>INDEX(ListeMatières,17)</f>
        <v>Pellicules HDPE et LDPE</v>
      </c>
      <c r="D26" s="398" t="s">
        <v>48</v>
      </c>
      <c r="E26" s="284">
        <f t="shared" si="8"/>
        <v>0.05</v>
      </c>
      <c r="F26" s="400"/>
      <c r="G26" s="293">
        <f t="shared" si="9"/>
        <v>0</v>
      </c>
      <c r="H26" s="141">
        <f>INDEX(tblMatières[Quantité déclarée (tonnes)],MATCH($C26,tblMatières[Matière],0))</f>
        <v>20483.853999999999</v>
      </c>
      <c r="I26" s="524">
        <f>I25</f>
        <v>618.1690873784745</v>
      </c>
      <c r="J26" s="524">
        <f t="shared" si="10"/>
        <v>618.1690873784745</v>
      </c>
      <c r="K26" s="566">
        <f t="shared" si="11"/>
        <v>0</v>
      </c>
    </row>
    <row r="27" spans="2:11" x14ac:dyDescent="0.2">
      <c r="B27" s="235"/>
      <c r="C27" s="37" t="str">
        <f>INDEX(ListeMatières,18)</f>
        <v>Sacs d'emplettes de pellicules HDPE et LDPE</v>
      </c>
      <c r="D27" s="398" t="s">
        <v>48</v>
      </c>
      <c r="E27" s="284">
        <f t="shared" si="8"/>
        <v>0.05</v>
      </c>
      <c r="F27" s="400"/>
      <c r="G27" s="293">
        <f t="shared" si="9"/>
        <v>0</v>
      </c>
      <c r="H27" s="141">
        <f>INDEX(tblMatières[Quantité déclarée (tonnes)],MATCH($C27,tblMatières[Matière],0))</f>
        <v>10065.867</v>
      </c>
      <c r="I27" s="524">
        <f>I25</f>
        <v>618.1690873784745</v>
      </c>
      <c r="J27" s="524">
        <f t="shared" si="10"/>
        <v>618.1690873784745</v>
      </c>
      <c r="K27" s="566">
        <f t="shared" si="11"/>
        <v>0</v>
      </c>
    </row>
    <row r="28" spans="2:11" x14ac:dyDescent="0.2">
      <c r="B28" s="235"/>
      <c r="C28" s="37" t="str">
        <f>INDEX(ListeMatières,19)</f>
        <v>Polystyrène expansé alimentaire</v>
      </c>
      <c r="D28" s="398" t="s">
        <v>48</v>
      </c>
      <c r="E28" s="284">
        <f t="shared" si="8"/>
        <v>0.05</v>
      </c>
      <c r="F28" s="400"/>
      <c r="G28" s="293">
        <f t="shared" si="9"/>
        <v>0</v>
      </c>
      <c r="H28" s="141">
        <f>INDEX(tblMatières[Quantité déclarée (tonnes)],MATCH($C28,tblMatières[Matière],0))</f>
        <v>3369.3789999999999</v>
      </c>
      <c r="I28" s="524">
        <f>SUM(Tarif!H33:L35)/(SUM(Tarif!G33:G35) + Tarif!G37)</f>
        <v>987.14742479595668</v>
      </c>
      <c r="J28" s="524">
        <f t="shared" si="10"/>
        <v>987.14742479595668</v>
      </c>
      <c r="K28" s="566">
        <f t="shared" si="11"/>
        <v>0</v>
      </c>
    </row>
    <row r="29" spans="2:11" x14ac:dyDescent="0.2">
      <c r="B29" s="235"/>
      <c r="C29" s="37" t="str">
        <f>INDEX(ListeMatières,20)</f>
        <v>Polystyrène expansé de protection</v>
      </c>
      <c r="D29" s="398" t="s">
        <v>48</v>
      </c>
      <c r="E29" s="284">
        <f t="shared" si="8"/>
        <v>0.05</v>
      </c>
      <c r="F29" s="400"/>
      <c r="G29" s="293">
        <f t="shared" si="9"/>
        <v>0</v>
      </c>
      <c r="H29" s="141">
        <f>INDEX(tblMatières[Quantité déclarée (tonnes)],MATCH($C29,tblMatières[Matière],0))</f>
        <v>1085.0350000000001</v>
      </c>
      <c r="I29" s="524">
        <f>I28</f>
        <v>987.14742479595668</v>
      </c>
      <c r="J29" s="524">
        <f t="shared" si="10"/>
        <v>987.14742479595668</v>
      </c>
      <c r="K29" s="566">
        <f t="shared" si="11"/>
        <v>0</v>
      </c>
    </row>
    <row r="30" spans="2:11" x14ac:dyDescent="0.2">
      <c r="B30" s="235"/>
      <c r="C30" s="37" t="str">
        <f>INDEX(ListeMatières,21)</f>
        <v>Polystyrène non expansé</v>
      </c>
      <c r="D30" s="398" t="s">
        <v>48</v>
      </c>
      <c r="E30" s="284">
        <f t="shared" si="8"/>
        <v>0.05</v>
      </c>
      <c r="F30" s="400"/>
      <c r="G30" s="293">
        <f t="shared" si="9"/>
        <v>0</v>
      </c>
      <c r="H30" s="141">
        <f>INDEX(tblMatières[Quantité déclarée (tonnes)],MATCH($C30,tblMatières[Matière],0))</f>
        <v>4235.3710000000001</v>
      </c>
      <c r="I30" s="524">
        <f>I28</f>
        <v>987.14742479595668</v>
      </c>
      <c r="J30" s="524">
        <f t="shared" si="10"/>
        <v>987.14742479595668</v>
      </c>
      <c r="K30" s="566">
        <f t="shared" si="11"/>
        <v>0</v>
      </c>
    </row>
    <row r="31" spans="2:11" x14ac:dyDescent="0.2">
      <c r="B31" s="235"/>
      <c r="C31" s="37" t="str">
        <f>INDEX(ListeMatières,22)</f>
        <v>Contenants de PET</v>
      </c>
      <c r="D31" s="398" t="s">
        <v>47</v>
      </c>
      <c r="E31" s="284">
        <f t="shared" si="8"/>
        <v>0.05</v>
      </c>
      <c r="F31" s="399">
        <v>9.2999999999999999E-2</v>
      </c>
      <c r="G31" s="291">
        <f t="shared" si="9"/>
        <v>9.2999999999999999E-2</v>
      </c>
      <c r="H31" s="141">
        <f>INDEX(tblMatières[Quantité déclarée (tonnes)],MATCH($C31,tblMatières[Matière],0))</f>
        <v>8932.5040000000008</v>
      </c>
      <c r="I31" s="524">
        <f>I23</f>
        <v>334.31842981450188</v>
      </c>
      <c r="J31" s="524">
        <f t="shared" si="10"/>
        <v>340.65460547636218</v>
      </c>
      <c r="K31" s="566">
        <f t="shared" si="11"/>
        <v>56597.914444269743</v>
      </c>
    </row>
    <row r="32" spans="2:11" x14ac:dyDescent="0.2">
      <c r="B32" s="235"/>
      <c r="C32" s="37" t="str">
        <f>INDEX(ListeMatières,23)</f>
        <v>Acide polylactique (PLA) et autres plastiques dégradables</v>
      </c>
      <c r="D32" s="398" t="s">
        <v>48</v>
      </c>
      <c r="E32" s="284">
        <f t="shared" si="8"/>
        <v>0.05</v>
      </c>
      <c r="F32" s="400"/>
      <c r="G32" s="293">
        <f t="shared" si="9"/>
        <v>0</v>
      </c>
      <c r="H32" s="141">
        <f>INDEX(tblMatières[Quantité déclarée (tonnes)],MATCH($C32,tblMatières[Matière],0))</f>
        <v>350.81</v>
      </c>
      <c r="I32" s="524">
        <f>I28</f>
        <v>987.14742479595668</v>
      </c>
      <c r="J32" s="524">
        <f t="shared" si="10"/>
        <v>987.14742479595668</v>
      </c>
      <c r="K32" s="566">
        <f t="shared" si="11"/>
        <v>0</v>
      </c>
    </row>
    <row r="33" spans="2:11" x14ac:dyDescent="0.2">
      <c r="B33" s="235"/>
      <c r="C33" s="37" t="str">
        <f>INDEX(ListeMatières,24)</f>
        <v>Autres plastiques, polymères et polyuréthane</v>
      </c>
      <c r="D33" s="398" t="s">
        <v>48</v>
      </c>
      <c r="E33" s="284">
        <f t="shared" si="8"/>
        <v>0.05</v>
      </c>
      <c r="F33" s="400"/>
      <c r="G33" s="293">
        <f t="shared" si="9"/>
        <v>0</v>
      </c>
      <c r="H33" s="141">
        <f>INDEX(tblMatières[Quantité déclarée (tonnes)],MATCH($C33,tblMatières[Matière],0))</f>
        <v>37245.540999999997</v>
      </c>
      <c r="I33" s="524">
        <f>SUM(Tarif!H38:L38)/H33</f>
        <v>405.00965685059242</v>
      </c>
      <c r="J33" s="524">
        <f t="shared" si="10"/>
        <v>405.00965685059242</v>
      </c>
      <c r="K33" s="566">
        <f t="shared" si="11"/>
        <v>0</v>
      </c>
    </row>
    <row r="34" spans="2:11" ht="15" x14ac:dyDescent="0.25">
      <c r="B34" s="230" t="str">
        <f>'Sommaire exécutif'!A37</f>
        <v>Plastique TOTAL</v>
      </c>
      <c r="C34" s="230"/>
      <c r="D34" s="10"/>
      <c r="E34" s="83"/>
      <c r="F34" s="290"/>
      <c r="G34" s="84"/>
      <c r="H34" s="22">
        <f>SUBTOTAL(9,H23:H33)</f>
        <v>152989.08499999996</v>
      </c>
      <c r="I34" s="22"/>
      <c r="J34" s="22"/>
      <c r="K34" s="541">
        <f>SUBTOTAL(9,K23:K33)</f>
        <v>253169.48297189537</v>
      </c>
    </row>
    <row r="35" spans="2:11" x14ac:dyDescent="0.2">
      <c r="B35" s="235" t="str">
        <f>'Sommaire exécutif'!A38</f>
        <v>Aluminium</v>
      </c>
      <c r="C35" s="37" t="str">
        <f>INDEX(ListeMatières,25)</f>
        <v>Contenants pour aliments et breuvages en aluminium</v>
      </c>
      <c r="D35" s="398" t="s">
        <v>48</v>
      </c>
      <c r="E35" s="284">
        <f>TonnageCrédit</f>
        <v>0.05</v>
      </c>
      <c r="F35" s="400"/>
      <c r="G35" s="293">
        <f t="shared" ref="G35:G36" si="12">IF(D35 = $B$53,IF(F35="",E35,F35),0)</f>
        <v>0</v>
      </c>
      <c r="H35" s="141">
        <f>INDEX(tblMatières[Quantité déclarée (tonnes)],MATCH($C35,tblMatières[Matière],0))</f>
        <v>4037.5839999999998</v>
      </c>
      <c r="I35" s="524">
        <f>SUM(Tarif!H40:L41)/SUM(Tarif!G40:G41)</f>
        <v>221.64238884791826</v>
      </c>
      <c r="J35" s="524">
        <f>I35 / (1 - G35 * RabaisCrédit)</f>
        <v>221.64238884791826</v>
      </c>
      <c r="K35" s="566">
        <f t="shared" ref="K35:K36" si="13">(J35-I35)*H35</f>
        <v>0</v>
      </c>
    </row>
    <row r="36" spans="2:11" x14ac:dyDescent="0.2">
      <c r="B36" s="235"/>
      <c r="C36" s="37" t="str">
        <f>INDEX(ListeMatières,26)</f>
        <v>Autres contenants et emballages en aluminium</v>
      </c>
      <c r="D36" s="398" t="s">
        <v>48</v>
      </c>
      <c r="E36" s="284">
        <f>TonnageCrédit</f>
        <v>0.05</v>
      </c>
      <c r="F36" s="400"/>
      <c r="G36" s="293">
        <f t="shared" si="12"/>
        <v>0</v>
      </c>
      <c r="H36" s="141">
        <f>INDEX(tblMatières[Quantité déclarée (tonnes)],MATCH($C36,tblMatières[Matière],0))</f>
        <v>3963.2570000000001</v>
      </c>
      <c r="I36" s="524">
        <f>I35</f>
        <v>221.64238884791826</v>
      </c>
      <c r="J36" s="524">
        <f>I36 / (1 - G36 * RabaisCrédit)</f>
        <v>221.64238884791826</v>
      </c>
      <c r="K36" s="566">
        <f t="shared" si="13"/>
        <v>0</v>
      </c>
    </row>
    <row r="37" spans="2:11" ht="15" x14ac:dyDescent="0.25">
      <c r="B37" s="230" t="str">
        <f>'Sommaire exécutif'!A40</f>
        <v>Aluminium TOTAL</v>
      </c>
      <c r="C37" s="230"/>
      <c r="D37" s="10"/>
      <c r="E37" s="83"/>
      <c r="F37" s="290"/>
      <c r="G37" s="84"/>
      <c r="H37" s="22">
        <f>SUBTOTAL(9,H35:H36)</f>
        <v>8000.8410000000003</v>
      </c>
      <c r="I37" s="22"/>
      <c r="J37" s="22"/>
      <c r="K37" s="541">
        <f>SUBTOTAL(9,K26:K36)</f>
        <v>56597.914444269743</v>
      </c>
    </row>
    <row r="38" spans="2:11" x14ac:dyDescent="0.2">
      <c r="B38" s="235" t="str">
        <f>'Sommaire exécutif'!A41</f>
        <v>Acier</v>
      </c>
      <c r="C38" s="37" t="str">
        <f>INDEX(ListeMatières,27)</f>
        <v>Bombes aérosol en acier</v>
      </c>
      <c r="D38" s="398" t="s">
        <v>48</v>
      </c>
      <c r="E38" s="284">
        <f>TonnageCrédit</f>
        <v>0.05</v>
      </c>
      <c r="F38" s="400"/>
      <c r="G38" s="293">
        <f t="shared" ref="G38:G39" si="14">IF(D38 = $B$53,IF(F38="",E38,F38),0)</f>
        <v>0</v>
      </c>
      <c r="H38" s="141">
        <f>INDEX(tblMatières[Quantité déclarée (tonnes)],MATCH($C38,tblMatières[Matière],0))</f>
        <v>1741.7629999999999</v>
      </c>
      <c r="I38" s="524">
        <f>SUM(Tarif!H43:L44)/SUM(Tarif!G43:G44)</f>
        <v>194.50884587508224</v>
      </c>
      <c r="J38" s="524">
        <f>I38 / (1 - G38 * RabaisCrédit)</f>
        <v>194.50884587508224</v>
      </c>
      <c r="K38" s="566">
        <f t="shared" ref="K38:K39" si="15">(J38-I38)*H38</f>
        <v>0</v>
      </c>
    </row>
    <row r="39" spans="2:11" x14ac:dyDescent="0.2">
      <c r="B39" s="235"/>
      <c r="C39" s="37" t="str">
        <f>INDEX(ListeMatières,28)</f>
        <v>Autres contenants en acier</v>
      </c>
      <c r="D39" s="398" t="s">
        <v>48</v>
      </c>
      <c r="E39" s="284">
        <f>TonnageCrédit</f>
        <v>0.05</v>
      </c>
      <c r="F39" s="400"/>
      <c r="G39" s="293">
        <f t="shared" si="14"/>
        <v>0</v>
      </c>
      <c r="H39" s="141">
        <f>INDEX(tblMatières[Quantité déclarée (tonnes)],MATCH($C39,tblMatières[Matière],0))</f>
        <v>25404.03</v>
      </c>
      <c r="I39" s="524">
        <f>I38</f>
        <v>194.50884587508224</v>
      </c>
      <c r="J39" s="524">
        <f>I39 / (1 - G39 * RabaisCrédit)</f>
        <v>194.50884587508224</v>
      </c>
      <c r="K39" s="566">
        <f t="shared" si="15"/>
        <v>0</v>
      </c>
    </row>
    <row r="40" spans="2:11" ht="15" x14ac:dyDescent="0.25">
      <c r="B40" s="230" t="str">
        <f>'Sommaire exécutif'!A43</f>
        <v>Acier TOTAL</v>
      </c>
      <c r="C40" s="230"/>
      <c r="D40" s="10"/>
      <c r="E40" s="83"/>
      <c r="F40" s="290"/>
      <c r="G40" s="84"/>
      <c r="H40" s="22">
        <f t="shared" ref="H40" si="16">SUBTOTAL(9,H38:H39)</f>
        <v>27145.792999999998</v>
      </c>
      <c r="I40" s="22"/>
      <c r="J40" s="22"/>
      <c r="K40" s="541">
        <f>SUBTOTAL(9,K29:K39)</f>
        <v>56597.914444269743</v>
      </c>
    </row>
    <row r="41" spans="2:11" x14ac:dyDescent="0.2">
      <c r="B41" s="235" t="str">
        <f>'Sommaire exécutif'!A44</f>
        <v>Verre</v>
      </c>
      <c r="C41" s="37" t="str">
        <f>INDEX(ListeMatières,29)</f>
        <v>Verre clair</v>
      </c>
      <c r="D41" s="398" t="s">
        <v>48</v>
      </c>
      <c r="E41" s="284">
        <f>TonnageCrédit</f>
        <v>0.05</v>
      </c>
      <c r="F41" s="400"/>
      <c r="G41" s="293">
        <f t="shared" ref="G41:G43" si="17">IF(D41 = $B$53,IF(F41="",E41,F41),0)</f>
        <v>0</v>
      </c>
      <c r="H41" s="141">
        <f>INDEX(tblMatières[Quantité déclarée (tonnes)],MATCH($C41,tblMatières[Matière],0))</f>
        <v>64834.576999999997</v>
      </c>
      <c r="I41" s="524">
        <f>SUM(Tarif!H46:L46)/H41</f>
        <v>234.47398182829252</v>
      </c>
      <c r="J41" s="524">
        <f>I41 / (1 - G41 * RabaisCrédit)</f>
        <v>234.47398182829252</v>
      </c>
      <c r="K41" s="566">
        <f t="shared" ref="K41:K43" si="18">(J41-I41)*H41</f>
        <v>0</v>
      </c>
    </row>
    <row r="42" spans="2:11" x14ac:dyDescent="0.2">
      <c r="B42" s="235"/>
      <c r="C42" s="239" t="str">
        <f>INDEX(ListeMatières,30)</f>
        <v>Verre coloré</v>
      </c>
      <c r="D42" s="398" t="s">
        <v>48</v>
      </c>
      <c r="E42" s="284">
        <f>TonnageCrédit</f>
        <v>0.05</v>
      </c>
      <c r="F42" s="400"/>
      <c r="G42" s="293">
        <f t="shared" si="17"/>
        <v>0</v>
      </c>
      <c r="H42" s="141">
        <f>INDEX(tblMatières[Quantité déclarée (tonnes)],MATCH($C42,tblMatières[Matière],0))</f>
        <v>85096.618000000002</v>
      </c>
      <c r="I42" s="524">
        <f>SUM(Tarif!H47:L47)/H42</f>
        <v>235.7936999532476</v>
      </c>
      <c r="J42" s="524">
        <f>I42 / (1 - G42 * RabaisCrédit)</f>
        <v>235.7936999532476</v>
      </c>
      <c r="K42" s="566">
        <f t="shared" si="18"/>
        <v>0</v>
      </c>
    </row>
    <row r="43" spans="2:11" x14ac:dyDescent="0.2">
      <c r="B43" s="235"/>
      <c r="C43" s="239" t="str">
        <f>INDEX(ListeMatières,31)</f>
        <v>Céramique</v>
      </c>
      <c r="D43" s="398" t="s">
        <v>48</v>
      </c>
      <c r="E43" s="284">
        <f>TonnageCrédit</f>
        <v>0.05</v>
      </c>
      <c r="F43" s="400"/>
      <c r="G43" s="293">
        <f t="shared" si="17"/>
        <v>0</v>
      </c>
      <c r="H43" s="141">
        <f>INDEX(tblMatières[Quantité déclarée (tonnes)],MATCH($C43,tblMatières[Matière],0))</f>
        <v>678</v>
      </c>
      <c r="I43" s="524">
        <f>SUM(Tarif!H48:L48)/H43</f>
        <v>386.02545039483948</v>
      </c>
      <c r="J43" s="524">
        <f>I43 / (1 - G43 * RabaisCrédit)</f>
        <v>386.02545039483948</v>
      </c>
      <c r="K43" s="566">
        <f t="shared" si="18"/>
        <v>0</v>
      </c>
    </row>
    <row r="44" spans="2:11" ht="15" x14ac:dyDescent="0.25">
      <c r="B44" s="230" t="str">
        <f>'Sommaire exécutif'!A47</f>
        <v>Verre TOTAL</v>
      </c>
      <c r="C44" s="230"/>
      <c r="D44" s="10"/>
      <c r="E44" s="43"/>
      <c r="F44" s="86"/>
      <c r="G44" s="51"/>
      <c r="H44" s="22">
        <f t="shared" ref="H44" si="19">SUBTOTAL(9,H41:H42)</f>
        <v>149931.19500000001</v>
      </c>
      <c r="I44" s="22"/>
      <c r="J44" s="22"/>
      <c r="K44" s="541">
        <f>SUBTOTAL(9,K32:K42)</f>
        <v>0</v>
      </c>
    </row>
    <row r="45" spans="2:11" ht="15.75" thickBot="1" x14ac:dyDescent="0.3">
      <c r="B45" s="233" t="str">
        <f>'Sommaire exécutif'!A48</f>
        <v>CONTENANTS ET EMBALLAGES TOTAL</v>
      </c>
      <c r="C45" s="233"/>
      <c r="D45" s="23"/>
      <c r="E45" s="56"/>
      <c r="F45" s="180"/>
      <c r="G45" s="52"/>
      <c r="H45" s="226">
        <f>SUBTOTAL(9,H15:H44)</f>
        <v>524256.67600000004</v>
      </c>
      <c r="I45" s="226"/>
      <c r="J45" s="226"/>
      <c r="K45" s="542">
        <f>SUBTOTAL(9,K15:K44)</f>
        <v>253169.48297189537</v>
      </c>
    </row>
    <row r="46" spans="2:11" x14ac:dyDescent="0.2">
      <c r="B46" s="235"/>
      <c r="C46" s="235"/>
      <c r="D46" s="37"/>
      <c r="E46" s="38"/>
      <c r="F46" s="17"/>
      <c r="G46" s="39"/>
      <c r="H46" s="141"/>
      <c r="I46" s="141"/>
      <c r="J46" s="141"/>
      <c r="K46" s="539"/>
    </row>
    <row r="47" spans="2:11" ht="15.75" thickBot="1" x14ac:dyDescent="0.3">
      <c r="B47" s="520" t="str">
        <f>'Sommaire exécutif'!A50</f>
        <v>TOTAL</v>
      </c>
      <c r="C47" s="234"/>
      <c r="D47" s="15"/>
      <c r="E47" s="33"/>
      <c r="F47" s="181"/>
      <c r="G47" s="32"/>
      <c r="H47" s="217">
        <f>SUBTOTAL(9,H6:H45)</f>
        <v>622392.90399999998</v>
      </c>
      <c r="I47" s="217"/>
      <c r="J47" s="217"/>
      <c r="K47" s="543">
        <f>SUBTOTAL(9,K6:K45)</f>
        <v>480362.82440986636</v>
      </c>
    </row>
    <row r="48" spans="2:11" ht="15" thickTop="1" x14ac:dyDescent="0.2"/>
    <row r="49" spans="2:2" ht="17.25" x14ac:dyDescent="0.25">
      <c r="B49" s="229" t="s">
        <v>229</v>
      </c>
    </row>
    <row r="53" spans="2:2" x14ac:dyDescent="0.2">
      <c r="B53" s="229" t="s">
        <v>47</v>
      </c>
    </row>
  </sheetData>
  <sheetProtection algorithmName="SHA-512" hashValue="6+60UEOYh9+ecHbfU+bQtFDgL8gu14ZXZMSXve2ifcDpdgwbDlvuXK2QZ3a6t7Dy6T1y1a9CA4C8VyR2VUKJAg==" saltValue="VCTmDiETOdS1QcHAxoJ3mQ==" spinCount="100000" sheet="1" objects="1" scenarios="1" selectLockedCells="1"/>
  <mergeCells count="2">
    <mergeCell ref="E4:G4"/>
    <mergeCell ref="B3:K3"/>
  </mergeCells>
  <dataValidations count="1">
    <dataValidation type="list" allowBlank="1" showInputMessage="1" showErrorMessage="1" sqref="D6:D11 D15:D21 D41:D43 D35:D36 D38:D39 D23:D33" xr:uid="{00000000-0002-0000-0C00-000000000000}">
      <formula1>"Oui,Non"</formula1>
    </dataValidation>
  </dataValidations>
  <pageMargins left="0.7" right="0.7" top="0.75" bottom="0.75" header="0.3" footer="0.3"/>
  <pageSetup scale="43" fitToHeight="0" orientation="landscape" r:id="rId1"/>
  <legacy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rgb="FF92D050"/>
  </sheetPr>
  <dimension ref="B1:P198"/>
  <sheetViews>
    <sheetView showGridLines="0" zoomScale="85" zoomScaleNormal="85" zoomScaleSheetLayoutView="70" workbookViewId="0">
      <pane xSplit="3" ySplit="9" topLeftCell="D10" activePane="bottomRight" state="frozen"/>
      <selection activeCell="C18" sqref="C18"/>
      <selection pane="topRight" activeCell="C18" sqref="C18"/>
      <selection pane="bottomLeft" activeCell="C18" sqref="C18"/>
      <selection pane="bottomRight"/>
    </sheetView>
  </sheetViews>
  <sheetFormatPr baseColWidth="10" defaultColWidth="9.140625" defaultRowHeight="14.25" x14ac:dyDescent="0.2"/>
  <cols>
    <col min="1" max="1" width="2.5703125" style="37" customWidth="1"/>
    <col min="2" max="2" width="26.5703125" style="3" customWidth="1"/>
    <col min="3" max="3" width="59.140625" style="3" bestFit="1" customWidth="1"/>
    <col min="4" max="4" width="19" style="3" bestFit="1" customWidth="1"/>
    <col min="5" max="5" width="21" style="3" bestFit="1" customWidth="1"/>
    <col min="6" max="6" width="19.140625" style="3" bestFit="1" customWidth="1"/>
    <col min="7" max="7" width="19.42578125" style="3" bestFit="1" customWidth="1"/>
    <col min="8" max="8" width="23" style="35" customWidth="1"/>
    <col min="9" max="9" width="16.42578125" style="35" customWidth="1"/>
    <col min="10" max="10" width="16.28515625" style="35" customWidth="1"/>
    <col min="11" max="11" width="16.7109375" style="35" customWidth="1"/>
    <col min="12" max="13" width="17.140625" style="35" customWidth="1"/>
    <col min="14" max="14" width="19.140625" style="35" customWidth="1"/>
    <col min="15" max="15" width="18.7109375" style="35" customWidth="1"/>
    <col min="16" max="16" width="18.5703125" style="35" bestFit="1" customWidth="1"/>
    <col min="17" max="16384" width="9.140625" style="37"/>
  </cols>
  <sheetData>
    <row r="1" spans="2:16" ht="6.75" customHeight="1" x14ac:dyDescent="0.2">
      <c r="B1" s="35"/>
      <c r="C1" s="35"/>
      <c r="D1" s="35"/>
      <c r="E1" s="35"/>
      <c r="F1" s="35"/>
      <c r="G1" s="35"/>
    </row>
    <row r="2" spans="2:16" ht="18.75" thickBot="1" x14ac:dyDescent="0.3">
      <c r="B2" s="476" t="s">
        <v>171</v>
      </c>
      <c r="C2" s="36"/>
      <c r="D2" s="36"/>
      <c r="E2" s="36"/>
      <c r="F2" s="36"/>
      <c r="G2" s="36"/>
      <c r="H2" s="36"/>
      <c r="I2" s="36"/>
      <c r="J2" s="36"/>
      <c r="K2" s="36"/>
      <c r="L2" s="36"/>
      <c r="M2" s="36"/>
      <c r="N2" s="36"/>
      <c r="O2" s="36"/>
      <c r="P2" s="36"/>
    </row>
    <row r="3" spans="2:16" ht="10.5" customHeight="1" thickBot="1" x14ac:dyDescent="0.25"/>
    <row r="4" spans="2:16" ht="18.75" thickBot="1" x14ac:dyDescent="0.3">
      <c r="B4" s="91" t="str">
        <f>Paramètres!B4</f>
        <v>Tarif</v>
      </c>
      <c r="C4" s="242">
        <f>AnnéeTarif</f>
        <v>2021</v>
      </c>
      <c r="D4" s="35"/>
      <c r="E4" s="35"/>
      <c r="F4" s="35"/>
      <c r="G4" s="35"/>
    </row>
    <row r="5" spans="2:16" ht="18.75" thickBot="1" x14ac:dyDescent="0.3">
      <c r="B5" s="91" t="str">
        <f>Paramètres!B5</f>
        <v>Scénario</v>
      </c>
      <c r="C5" s="242" t="str">
        <f>Paramètres!C5</f>
        <v xml:space="preserve">Projet de tarif </v>
      </c>
      <c r="D5" s="35"/>
      <c r="E5" s="35"/>
      <c r="F5" s="35"/>
      <c r="G5" s="35"/>
    </row>
    <row r="6" spans="2:16" ht="18.75" thickBot="1" x14ac:dyDescent="0.3">
      <c r="B6" s="91" t="str">
        <f>Paramètres!B6</f>
        <v>Année de référence</v>
      </c>
      <c r="C6" s="92">
        <f>AnnéeRéf</f>
        <v>2020</v>
      </c>
      <c r="D6" s="90"/>
      <c r="E6" s="90"/>
      <c r="F6" s="90"/>
      <c r="G6" s="35"/>
      <c r="P6" s="498"/>
    </row>
    <row r="7" spans="2:16" s="102" customFormat="1" ht="32.25" customHeight="1" x14ac:dyDescent="0.2">
      <c r="D7" s="706" t="s">
        <v>172</v>
      </c>
      <c r="E7" s="668"/>
      <c r="F7" s="668"/>
      <c r="G7" s="669"/>
      <c r="H7" s="706" t="s">
        <v>212</v>
      </c>
      <c r="I7" s="668"/>
      <c r="J7" s="668"/>
      <c r="K7" s="668"/>
      <c r="L7" s="668"/>
      <c r="M7" s="668"/>
      <c r="N7" s="668"/>
      <c r="O7" s="669"/>
      <c r="P7" s="557" t="s">
        <v>213</v>
      </c>
    </row>
    <row r="8" spans="2:16" ht="60" customHeight="1" thickBot="1" x14ac:dyDescent="0.3">
      <c r="B8" s="42" t="str">
        <f>'Sommaire exécutif'!A7</f>
        <v>CATÉGORIE</v>
      </c>
      <c r="C8" s="9" t="str">
        <f>'Sommaire exécutif'!B7</f>
        <v>Matière</v>
      </c>
      <c r="D8" s="182" t="str">
        <f>'Sommaire exécutif'!D7</f>
        <v xml:space="preserve">Quantité générée
(tonnes) </v>
      </c>
      <c r="E8" s="166" t="str">
        <f>'Sommaire exécutif'!E7</f>
        <v xml:space="preserve">Quantité récupérée
(tonnes) </v>
      </c>
      <c r="F8" s="166" t="str">
        <f>'Sommaire exécutif'!F7</f>
        <v xml:space="preserve">Quantité éliminée
(tonnes) </v>
      </c>
      <c r="G8" s="260" t="str">
        <f>'Sommaire exécutif'!C7</f>
        <v>Quantité déclarée 
(tonnes)</v>
      </c>
      <c r="H8" s="166" t="s">
        <v>173</v>
      </c>
      <c r="I8" s="166" t="s">
        <v>80</v>
      </c>
      <c r="J8" s="166" t="s">
        <v>81</v>
      </c>
      <c r="K8" s="166" t="s">
        <v>82</v>
      </c>
      <c r="L8" s="278" t="s">
        <v>202</v>
      </c>
      <c r="M8" s="278" t="s">
        <v>210</v>
      </c>
      <c r="N8" s="278" t="s">
        <v>194</v>
      </c>
      <c r="O8" s="260" t="s">
        <v>83</v>
      </c>
      <c r="P8" s="500" t="str">
        <f>'Sommaire exécutif'!I7</f>
        <v>Taux 2021
($/tonne)</v>
      </c>
    </row>
    <row r="9" spans="2:16" ht="15.75" thickBot="1" x14ac:dyDescent="0.3">
      <c r="B9" s="97"/>
      <c r="C9" s="69" t="s">
        <v>44</v>
      </c>
      <c r="D9" s="70"/>
      <c r="E9" s="71"/>
      <c r="F9" s="71"/>
      <c r="G9" s="72"/>
      <c r="H9" s="71"/>
      <c r="I9" s="185">
        <f>Facteur1</f>
        <v>0.4</v>
      </c>
      <c r="J9" s="186">
        <f>Facteur2</f>
        <v>0.4</v>
      </c>
      <c r="K9" s="142">
        <f>Facteur3</f>
        <v>0.2</v>
      </c>
      <c r="L9" s="71"/>
      <c r="M9" s="71"/>
      <c r="N9" s="71"/>
      <c r="O9" s="72"/>
      <c r="P9" s="73"/>
    </row>
    <row r="10" spans="2:16" ht="15" customHeight="1" x14ac:dyDescent="0.25">
      <c r="B10" s="43" t="str">
        <f>'Sommaire exécutif'!A8</f>
        <v>IMPRIMÉS</v>
      </c>
      <c r="C10" s="11"/>
      <c r="D10" s="101"/>
      <c r="E10" s="78"/>
      <c r="F10" s="78"/>
      <c r="G10" s="100"/>
      <c r="H10" s="108"/>
      <c r="I10" s="78"/>
      <c r="J10" s="78"/>
      <c r="K10" s="183"/>
      <c r="L10" s="122"/>
      <c r="M10" s="122"/>
      <c r="N10" s="122"/>
      <c r="O10" s="553"/>
      <c r="P10" s="501"/>
    </row>
    <row r="11" spans="2:16" ht="15" x14ac:dyDescent="0.25">
      <c r="B11" s="38"/>
      <c r="C11" s="594" t="str">
        <f>INDEX(ListeMatières,1)</f>
        <v>Encarts et circulaires imprimés sur du papier journal</v>
      </c>
      <c r="D11" s="598">
        <f>INDEX(tblMatières[Quantité générée (tonnes)],MATCH($C11,tblMatières[Matière],0))</f>
        <v>65368.142999999996</v>
      </c>
      <c r="E11" s="596">
        <f>INDEX(tblMatières[Quantité récupérée (tonnes)],MATCH($C11,tblMatières[Matière],0))</f>
        <v>55656.984739085055</v>
      </c>
      <c r="F11" s="596">
        <f t="shared" ref="F11:F16" si="0">D11-E11</f>
        <v>9711.1582609149409</v>
      </c>
      <c r="G11" s="597">
        <f>INDEX(tblMatières[Quantité déclarée (tonnes)],MATCH($C11,tblMatières[Matière],0))</f>
        <v>65368.142999999996</v>
      </c>
      <c r="H11" s="617">
        <f>'Frais de gestion &amp; RQ'!G10</f>
        <v>872852.03538122936</v>
      </c>
      <c r="I11" s="602">
        <f>'Facteur 1'!H10</f>
        <v>8323559.9680792606</v>
      </c>
      <c r="J11" s="603">
        <f>'Facteur 2'!J10</f>
        <v>12578968.703343248</v>
      </c>
      <c r="K11" s="604">
        <f>'Facteur 3'!L10</f>
        <v>4149671.8275628551</v>
      </c>
      <c r="L11" s="618">
        <f>'Limitation hausse'!M10</f>
        <v>0</v>
      </c>
      <c r="M11" s="618">
        <f>'Crédit contenu recyclé'!K6</f>
        <v>130276.64590134125</v>
      </c>
      <c r="N11" s="618">
        <f>INDEX(Paramètres!$F$49:$F$78,MATCH(C11,ListeMatières,0))</f>
        <v>0</v>
      </c>
      <c r="O11" s="619">
        <f>SUM(H11:N11)</f>
        <v>26055329.180267934</v>
      </c>
      <c r="P11" s="608">
        <f>ROUND(O11/G11,2)</f>
        <v>398.59</v>
      </c>
    </row>
    <row r="12" spans="2:16" x14ac:dyDescent="0.2">
      <c r="B12" s="259"/>
      <c r="C12" s="39" t="str">
        <f>INDEX(ListeMatières,2)</f>
        <v>Catalogues et publications</v>
      </c>
      <c r="D12" s="58">
        <f>INDEX(tblMatières[Quantité générée (tonnes)],MATCH($C12,tblMatières[Matière],0))</f>
        <v>5387.2479999999996</v>
      </c>
      <c r="E12" s="141">
        <f>INDEX(tblMatières[Quantité récupérée (tonnes)],MATCH($C12,tblMatières[Matière],0))</f>
        <v>4441.1866763444323</v>
      </c>
      <c r="F12" s="141">
        <f t="shared" si="0"/>
        <v>946.06132365556732</v>
      </c>
      <c r="G12" s="48">
        <f>INDEX(tblMatières[Quantité déclarée (tonnes)],MATCH($C12,tblMatières[Matière],0))</f>
        <v>5387.2479999999996</v>
      </c>
      <c r="H12" s="684">
        <f>SUM('Frais de gestion &amp; RQ'!$G$11:$G$15)</f>
        <v>437547.83867418621</v>
      </c>
      <c r="I12" s="682">
        <f>SUM('Facteur 1'!$H$11:$H$15)</f>
        <v>9236870.0607608706</v>
      </c>
      <c r="J12" s="680">
        <f>SUM('Facteur 2'!$J$11:$J$15)</f>
        <v>4981461.3254968859</v>
      </c>
      <c r="K12" s="678">
        <f>SUM('Facteur 3'!$L$11:$L$15)</f>
        <v>4630543.1868572095</v>
      </c>
      <c r="L12" s="687">
        <f>SUM('Limitation hausse'!M11:M15)</f>
        <v>0</v>
      </c>
      <c r="M12" s="687">
        <f>SUM('Crédit contenu recyclé'!K7:K11)</f>
        <v>96916.695536629792</v>
      </c>
      <c r="N12" s="701">
        <f>SUM(Paramètres!F50:F54)</f>
        <v>0</v>
      </c>
      <c r="O12" s="676">
        <f>SUM(H12:N16)</f>
        <v>19383339.107325781</v>
      </c>
      <c r="P12" s="502">
        <f>ROUND(O12 /SUM($G$12:$G$16),2)</f>
        <v>591.53</v>
      </c>
    </row>
    <row r="13" spans="2:16" ht="15" customHeight="1" x14ac:dyDescent="0.2">
      <c r="B13" s="259"/>
      <c r="C13" s="39" t="str">
        <f>INDEX(ListeMatières,3)</f>
        <v>Magazines</v>
      </c>
      <c r="D13" s="58">
        <f>INDEX(tblMatières[Quantité générée (tonnes)],MATCH($C13,tblMatières[Matière],0))</f>
        <v>3004.6579999999999</v>
      </c>
      <c r="E13" s="141">
        <f>INDEX(tblMatières[Quantité récupérée (tonnes)],MATCH($C13,tblMatières[Matière],0))</f>
        <v>2573.084473947371</v>
      </c>
      <c r="F13" s="141">
        <f t="shared" si="0"/>
        <v>431.57352605262895</v>
      </c>
      <c r="G13" s="48">
        <f>INDEX(tblMatières[Quantité déclarée (tonnes)],MATCH($C13,tblMatières[Matière],0))</f>
        <v>3004.6579999999999</v>
      </c>
      <c r="H13" s="684"/>
      <c r="I13" s="682"/>
      <c r="J13" s="680"/>
      <c r="K13" s="678"/>
      <c r="L13" s="687"/>
      <c r="M13" s="687"/>
      <c r="N13" s="701"/>
      <c r="O13" s="676"/>
      <c r="P13" s="502">
        <f>P12</f>
        <v>591.53</v>
      </c>
    </row>
    <row r="14" spans="2:16" ht="15" customHeight="1" x14ac:dyDescent="0.2">
      <c r="B14" s="259"/>
      <c r="C14" s="39" t="str">
        <f>INDEX(ListeMatières,4)</f>
        <v>Annuaires téléphoniques</v>
      </c>
      <c r="D14" s="58">
        <f>INDEX(tblMatières[Quantité générée (tonnes)],MATCH($C14,tblMatières[Matière],0))</f>
        <v>320.28500000000003</v>
      </c>
      <c r="E14" s="141">
        <f>INDEX(tblMatières[Quantité récupérée (tonnes)],MATCH($C14,tblMatières[Matière],0))</f>
        <v>261.22380655183559</v>
      </c>
      <c r="F14" s="141">
        <f t="shared" si="0"/>
        <v>59.061193448164431</v>
      </c>
      <c r="G14" s="48">
        <f>INDEX(tblMatières[Quantité déclarée (tonnes)],MATCH($C14,tblMatières[Matière],0))</f>
        <v>320.28500000000003</v>
      </c>
      <c r="H14" s="684"/>
      <c r="I14" s="682"/>
      <c r="J14" s="680"/>
      <c r="K14" s="678"/>
      <c r="L14" s="687"/>
      <c r="M14" s="687"/>
      <c r="N14" s="701"/>
      <c r="O14" s="676"/>
      <c r="P14" s="502">
        <f t="shared" ref="P14:P16" si="1">P13</f>
        <v>591.53</v>
      </c>
    </row>
    <row r="15" spans="2:16" ht="15" customHeight="1" x14ac:dyDescent="0.2">
      <c r="B15" s="259"/>
      <c r="C15" s="39" t="str">
        <f>INDEX(ListeMatières,5)</f>
        <v>Papier à usage général</v>
      </c>
      <c r="D15" s="58">
        <f>INDEX(tblMatières[Quantité générée (tonnes)],MATCH($C15,tblMatières[Matière],0))</f>
        <v>5107.7979999999998</v>
      </c>
      <c r="E15" s="141">
        <f>INDEX(tblMatières[Quantité récupérée (tonnes)],MATCH($C15,tblMatières[Matière],0))</f>
        <v>2901.4502265425795</v>
      </c>
      <c r="F15" s="141">
        <f t="shared" si="0"/>
        <v>2206.3477734574203</v>
      </c>
      <c r="G15" s="48">
        <f>INDEX(tblMatières[Quantité déclarée (tonnes)],MATCH($C15,tblMatières[Matière],0))</f>
        <v>5107.7979999999998</v>
      </c>
      <c r="H15" s="684"/>
      <c r="I15" s="682"/>
      <c r="J15" s="680"/>
      <c r="K15" s="678"/>
      <c r="L15" s="687"/>
      <c r="M15" s="687"/>
      <c r="N15" s="701"/>
      <c r="O15" s="676"/>
      <c r="P15" s="502">
        <f t="shared" si="1"/>
        <v>591.53</v>
      </c>
    </row>
    <row r="16" spans="2:16" ht="15.75" customHeight="1" thickBot="1" x14ac:dyDescent="0.25">
      <c r="B16" s="511"/>
      <c r="C16" s="595" t="str">
        <f>INDEX(ListeMatières,6)</f>
        <v>Autres imprimés</v>
      </c>
      <c r="D16" s="512">
        <f>INDEX(tblMatières[Quantité générée (tonnes)],MATCH($C16,tblMatières[Matière],0))</f>
        <v>18948.096000000001</v>
      </c>
      <c r="E16" s="513">
        <f>INDEX(tblMatières[Quantité récupérée (tonnes)],MATCH($C16,tblMatières[Matière],0))</f>
        <v>11814.415994167999</v>
      </c>
      <c r="F16" s="513">
        <f t="shared" si="0"/>
        <v>7133.6800058320023</v>
      </c>
      <c r="G16" s="514">
        <f>INDEX(tblMatières[Quantité déclarée (tonnes)],MATCH($C16,tblMatières[Matière],0))</f>
        <v>18948.096000000001</v>
      </c>
      <c r="H16" s="708"/>
      <c r="I16" s="709"/>
      <c r="J16" s="710"/>
      <c r="K16" s="707"/>
      <c r="L16" s="713"/>
      <c r="M16" s="713"/>
      <c r="N16" s="711"/>
      <c r="O16" s="712"/>
      <c r="P16" s="515">
        <f t="shared" si="1"/>
        <v>591.53</v>
      </c>
    </row>
    <row r="17" spans="2:16" s="6" customFormat="1" ht="16.5" thickTop="1" thickBot="1" x14ac:dyDescent="0.3">
      <c r="B17" s="56" t="str">
        <f>'Sommaire exécutif'!A15</f>
        <v>IMPRIMÉS TOTAL</v>
      </c>
      <c r="C17" s="23"/>
      <c r="D17" s="509">
        <f>SUBTOTAL(9,D11:D16)</f>
        <v>98136.228000000003</v>
      </c>
      <c r="E17" s="226">
        <f t="shared" ref="E17:O17" si="2">SUBTOTAL(9,E11:E16)</f>
        <v>77648.345916639271</v>
      </c>
      <c r="F17" s="226">
        <f t="shared" si="2"/>
        <v>20487.882083360724</v>
      </c>
      <c r="G17" s="510">
        <f t="shared" si="2"/>
        <v>98136.228000000003</v>
      </c>
      <c r="H17" s="470">
        <f t="shared" si="2"/>
        <v>1310399.8740554156</v>
      </c>
      <c r="I17" s="470">
        <f t="shared" si="2"/>
        <v>17560430.028840132</v>
      </c>
      <c r="J17" s="470">
        <f t="shared" si="2"/>
        <v>17560430.028840132</v>
      </c>
      <c r="K17" s="470">
        <f t="shared" si="2"/>
        <v>8780215.0144200642</v>
      </c>
      <c r="L17" s="470">
        <f t="shared" si="2"/>
        <v>0</v>
      </c>
      <c r="M17" s="470">
        <f t="shared" si="2"/>
        <v>227193.34143797104</v>
      </c>
      <c r="N17" s="470">
        <f t="shared" si="2"/>
        <v>0</v>
      </c>
      <c r="O17" s="549">
        <f t="shared" si="2"/>
        <v>45438668.287593715</v>
      </c>
      <c r="P17" s="508">
        <f>SUMPRODUCT($P$11:$P$16,$G$11:$G$16)/SUM($G$11:$G$16)</f>
        <v>463.01344941054793</v>
      </c>
    </row>
    <row r="18" spans="2:16" ht="6" customHeight="1" x14ac:dyDescent="0.25">
      <c r="B18" s="38"/>
      <c r="D18" s="259"/>
      <c r="E18" s="35"/>
      <c r="F18" s="35"/>
      <c r="G18" s="39"/>
      <c r="H18" s="104"/>
      <c r="I18" s="236"/>
      <c r="J18" s="236"/>
      <c r="K18" s="227"/>
      <c r="L18" s="136"/>
      <c r="M18" s="136"/>
      <c r="N18" s="136"/>
      <c r="O18" s="554"/>
      <c r="P18" s="503"/>
    </row>
    <row r="19" spans="2:16" ht="15" x14ac:dyDescent="0.25">
      <c r="B19" s="43" t="str">
        <f>'Sommaire exécutif'!A17</f>
        <v>CONTENANTS ET EMBALLAGES</v>
      </c>
      <c r="C19" s="11"/>
      <c r="D19" s="34"/>
      <c r="E19" s="11"/>
      <c r="F19" s="11"/>
      <c r="G19" s="45"/>
      <c r="H19" s="107"/>
      <c r="I19" s="527"/>
      <c r="J19" s="527"/>
      <c r="K19" s="527"/>
      <c r="L19" s="122"/>
      <c r="M19" s="122"/>
      <c r="N19" s="122"/>
      <c r="O19" s="553"/>
      <c r="P19" s="504"/>
    </row>
    <row r="20" spans="2:16" ht="15" x14ac:dyDescent="0.25">
      <c r="B20" s="46" t="str">
        <f>'Sommaire exécutif'!A18</f>
        <v>Papier et carton</v>
      </c>
      <c r="C20" s="599" t="str">
        <f>INDEX(ListeMatières,7)</f>
        <v>Carton ondulé</v>
      </c>
      <c r="D20" s="598">
        <f>INDEX(tblMatières[Quantité générée (tonnes)],MATCH($C20,tblMatières[Matière],0))</f>
        <v>58408.389000000003</v>
      </c>
      <c r="E20" s="596">
        <f>INDEX(tblMatières[Quantité récupérée (tonnes)],MATCH($C20,tblMatières[Matière],0))</f>
        <v>45258.102855473473</v>
      </c>
      <c r="F20" s="596">
        <f t="shared" ref="F20:F26" si="3">D20-E20</f>
        <v>13150.28614452653</v>
      </c>
      <c r="G20" s="597">
        <f>INDEX(tblMatières[Quantité déclarée (tonnes)],MATCH($C20,tblMatières[Matière],0))</f>
        <v>58408.389000000003</v>
      </c>
      <c r="H20" s="683">
        <f>SUM('Frais de gestion &amp; RQ'!$G$19:$G$21)</f>
        <v>848531.71132611204</v>
      </c>
      <c r="I20" s="681">
        <f>SUM('Facteur 1'!$H$19:$H$21)</f>
        <v>5359713.9001864828</v>
      </c>
      <c r="J20" s="679">
        <f>SUM('Facteur 2'!$J$19:$J$21)</f>
        <v>7972826.8694452886</v>
      </c>
      <c r="K20" s="677">
        <f>SUM('Facteur 3'!$L$19:$L$21)</f>
        <v>1643905.3193446309</v>
      </c>
      <c r="L20" s="685">
        <f>SUM('Limitation hausse'!M19:M21)</f>
        <v>0</v>
      </c>
      <c r="M20" s="685">
        <f>SUM('Crédit contenu recyclé'!K15:K17)</f>
        <v>0</v>
      </c>
      <c r="N20" s="688">
        <f>SUM(Paramètres!F55:F57)</f>
        <v>0</v>
      </c>
      <c r="O20" s="696">
        <f>SUM(H20:N22)</f>
        <v>15824977.800302515</v>
      </c>
      <c r="P20" s="608">
        <f>ROUND(O20 /SUM($G$20:$G$22),2)</f>
        <v>245.26</v>
      </c>
    </row>
    <row r="21" spans="2:16" ht="15" x14ac:dyDescent="0.25">
      <c r="B21" s="46"/>
      <c r="C21" s="37" t="str">
        <f>INDEX(ListeMatières,8)</f>
        <v>Sacs de papier kraft</v>
      </c>
      <c r="D21" s="58">
        <f>INDEX(tblMatières[Quantité générée (tonnes)],MATCH($C21,tblMatières[Matière],0))</f>
        <v>3906.12</v>
      </c>
      <c r="E21" s="141">
        <f>INDEX(tblMatières[Quantité récupérée (tonnes)],MATCH($C21,tblMatières[Matière],0))</f>
        <v>1611.354102772769</v>
      </c>
      <c r="F21" s="141">
        <f t="shared" si="3"/>
        <v>2294.7658972272311</v>
      </c>
      <c r="G21" s="48">
        <f>INDEX(tblMatières[Quantité déclarée (tonnes)],MATCH($C21,tblMatières[Matière],0))</f>
        <v>3906.12</v>
      </c>
      <c r="H21" s="684"/>
      <c r="I21" s="682"/>
      <c r="J21" s="680"/>
      <c r="K21" s="678"/>
      <c r="L21" s="686"/>
      <c r="M21" s="686"/>
      <c r="N21" s="701"/>
      <c r="O21" s="697"/>
      <c r="P21" s="502">
        <f>P20</f>
        <v>245.26</v>
      </c>
    </row>
    <row r="22" spans="2:16" ht="15" x14ac:dyDescent="0.25">
      <c r="B22" s="46"/>
      <c r="C22" s="37" t="str">
        <f>INDEX(ListeMatières,9)</f>
        <v>Emballages de papier kraft</v>
      </c>
      <c r="D22" s="58">
        <f>INDEX(tblMatières[Quantité générée (tonnes)],MATCH($C22,tblMatières[Matière],0))</f>
        <v>2207.5160000000001</v>
      </c>
      <c r="E22" s="141">
        <f>INDEX(tblMatières[Quantité récupérée (tonnes)],MATCH($C22,tblMatières[Matière],0))</f>
        <v>511.60760801223461</v>
      </c>
      <c r="F22" s="141">
        <f t="shared" si="3"/>
        <v>1695.9083919877655</v>
      </c>
      <c r="G22" s="48">
        <f>INDEX(tblMatières[Quantité déclarée (tonnes)],MATCH($C22,tblMatières[Matière],0))</f>
        <v>2207.5160000000001</v>
      </c>
      <c r="H22" s="684"/>
      <c r="I22" s="682"/>
      <c r="J22" s="680"/>
      <c r="K22" s="678"/>
      <c r="L22" s="686"/>
      <c r="M22" s="686"/>
      <c r="N22" s="701"/>
      <c r="O22" s="697"/>
      <c r="P22" s="502">
        <f>P20</f>
        <v>245.26</v>
      </c>
    </row>
    <row r="23" spans="2:16" ht="15" x14ac:dyDescent="0.25">
      <c r="B23" s="46"/>
      <c r="C23" s="37" t="str">
        <f>INDEX(ListeMatières,10)</f>
        <v>Carton plat et autres emballages de papier</v>
      </c>
      <c r="D23" s="58">
        <f>INDEX(tblMatières[Quantité générée (tonnes)],MATCH($C23,tblMatières[Matière],0))</f>
        <v>92654.394</v>
      </c>
      <c r="E23" s="141">
        <f>INDEX(tblMatières[Quantité récupérée (tonnes)],MATCH($C23,tblMatières[Matière],0))</f>
        <v>57330.131093507713</v>
      </c>
      <c r="F23" s="141">
        <f t="shared" si="3"/>
        <v>35324.262906492288</v>
      </c>
      <c r="G23" s="48">
        <f>INDEX(tblMatières[Quantité déclarée (tonnes)],MATCH($C23,tblMatières[Matière],0))</f>
        <v>92654.394</v>
      </c>
      <c r="H23" s="621">
        <f>'Frais de gestion &amp; RQ'!G22</f>
        <v>1218501.6124757994</v>
      </c>
      <c r="I23" s="466">
        <f>'Facteur 1'!H22</f>
        <v>11045352.076134628</v>
      </c>
      <c r="J23" s="622">
        <f>'Facteur 2'!J22</f>
        <v>9400568.9738286361</v>
      </c>
      <c r="K23" s="467">
        <f>'Facteur 3'!L22</f>
        <v>3301250.218722811</v>
      </c>
      <c r="L23" s="623">
        <f>'Limitation hausse'!M22</f>
        <v>0</v>
      </c>
      <c r="M23" s="623">
        <f>'Crédit contenu recyclé'!K18</f>
        <v>0</v>
      </c>
      <c r="N23" s="468">
        <f>INDEX(Paramètres!$F$49:$F$78,MATCH(C23,ListeMatières,0))</f>
        <v>0</v>
      </c>
      <c r="O23" s="626">
        <f>SUM(H23:N23)</f>
        <v>24965672.881161876</v>
      </c>
      <c r="P23" s="502">
        <f>O23/G23</f>
        <v>269.44942169889833</v>
      </c>
    </row>
    <row r="24" spans="2:16" ht="15" x14ac:dyDescent="0.25">
      <c r="B24" s="46"/>
      <c r="C24" s="37" t="str">
        <f>INDEX(ListeMatières,11)</f>
        <v>Contenants à pignon</v>
      </c>
      <c r="D24" s="58">
        <f>INDEX(tblMatières[Quantité générée (tonnes)],MATCH($C24,tblMatières[Matière],0))</f>
        <v>9680.7970000000005</v>
      </c>
      <c r="E24" s="141">
        <f>INDEX(tblMatières[Quantité récupérée (tonnes)],MATCH($C24,tblMatières[Matière],0))</f>
        <v>7539.7734574724036</v>
      </c>
      <c r="F24" s="141">
        <f t="shared" si="3"/>
        <v>2141.0235425275969</v>
      </c>
      <c r="G24" s="48">
        <f>INDEX(tblMatières[Quantité déclarée (tonnes)],MATCH($C24,tblMatières[Matière],0))</f>
        <v>9680.7970000000005</v>
      </c>
      <c r="H24" s="621">
        <f>'Frais de gestion &amp; RQ'!G23</f>
        <v>127312.54552861123</v>
      </c>
      <c r="I24" s="466">
        <f>'Facteur 1'!H23</f>
        <v>669465.03294663085</v>
      </c>
      <c r="J24" s="622">
        <f>'Facteur 2'!J23</f>
        <v>1431968.9003962867</v>
      </c>
      <c r="K24" s="467">
        <f>'Facteur 3'!L23</f>
        <v>231755.93293791826</v>
      </c>
      <c r="L24" s="623">
        <f>'Limitation hausse'!M23</f>
        <v>0</v>
      </c>
      <c r="M24" s="623">
        <f>'Crédit contenu recyclé'!K19</f>
        <v>0</v>
      </c>
      <c r="N24" s="468">
        <f>INDEX(Paramètres!$F$49:$F$78,MATCH(C24,ListeMatières,0))</f>
        <v>0</v>
      </c>
      <c r="O24" s="626">
        <f>SUM(H24:N24)</f>
        <v>2460502.4118094472</v>
      </c>
      <c r="P24" s="502">
        <f>O24/G24</f>
        <v>254.16320699725932</v>
      </c>
    </row>
    <row r="25" spans="2:16" ht="15" x14ac:dyDescent="0.25">
      <c r="B25" s="46"/>
      <c r="C25" s="37" t="str">
        <f>INDEX(ListeMatières,12)</f>
        <v>Laminés de papier</v>
      </c>
      <c r="D25" s="58">
        <f>INDEX(tblMatières[Quantité générée (tonnes)],MATCH($C25,tblMatières[Matière],0))</f>
        <v>13115.505999999999</v>
      </c>
      <c r="E25" s="141">
        <f>INDEX(tblMatières[Quantité récupérée (tonnes)],MATCH($C25,tblMatières[Matière],0))</f>
        <v>4385.0394479041151</v>
      </c>
      <c r="F25" s="141">
        <f t="shared" si="3"/>
        <v>8730.4665520958843</v>
      </c>
      <c r="G25" s="48">
        <f>INDEX(tblMatières[Quantité déclarée (tonnes)],MATCH($C25,tblMatières[Matière],0))</f>
        <v>13115.505999999999</v>
      </c>
      <c r="H25" s="621">
        <f>'Frais de gestion &amp; RQ'!G24</f>
        <v>172482.53989374771</v>
      </c>
      <c r="I25" s="466">
        <f>'Facteur 1'!H24</f>
        <v>2729882.209066364</v>
      </c>
      <c r="J25" s="622">
        <f>'Facteur 2'!J24</f>
        <v>1013950.6042823013</v>
      </c>
      <c r="K25" s="467">
        <f>'Facteur 3'!L24</f>
        <v>1150574.847378263</v>
      </c>
      <c r="L25" s="623">
        <f>'Limitation hausse'!M24</f>
        <v>0</v>
      </c>
      <c r="M25" s="623">
        <f>'Crédit contenu recyclé'!K20</f>
        <v>0</v>
      </c>
      <c r="N25" s="468">
        <f>INDEX(Paramètres!$F$49:$F$78,MATCH(C25,ListeMatières,0))</f>
        <v>0</v>
      </c>
      <c r="O25" s="626">
        <f>SUM(H25:N25)</f>
        <v>5066890.2006206764</v>
      </c>
      <c r="P25" s="502">
        <f>O25/G25</f>
        <v>386.32822863415845</v>
      </c>
    </row>
    <row r="26" spans="2:16" ht="15" x14ac:dyDescent="0.25">
      <c r="B26" s="46"/>
      <c r="C26" s="239" t="str">
        <f>INDEX(ListeMatières,13)</f>
        <v>Contenants aseptiques</v>
      </c>
      <c r="D26" s="210">
        <f>INDEX(tblMatières[Quantité générée (tonnes)],MATCH($C26,tblMatières[Matière],0))</f>
        <v>5539.04</v>
      </c>
      <c r="E26" s="184">
        <f>INDEX(tblMatières[Quantité récupérée (tonnes)],MATCH($C26,tblMatières[Matière],0))</f>
        <v>3043.685539740221</v>
      </c>
      <c r="F26" s="184">
        <f t="shared" si="3"/>
        <v>2495.354460259779</v>
      </c>
      <c r="G26" s="600">
        <f>INDEX(tblMatières[Quantité déclarée (tonnes)],MATCH($C26,tblMatières[Matière],0))</f>
        <v>5539.04</v>
      </c>
      <c r="H26" s="609">
        <f>'Frais de gestion &amp; RQ'!G25</f>
        <v>72844.134856334509</v>
      </c>
      <c r="I26" s="610">
        <f>'Facteur 1'!H25</f>
        <v>780258.84478559042</v>
      </c>
      <c r="J26" s="611">
        <f>'Facteur 2'!J25</f>
        <v>607483.24512134073</v>
      </c>
      <c r="K26" s="612">
        <f>'Facteur 3'!L25</f>
        <v>283857.84242609661</v>
      </c>
      <c r="L26" s="613">
        <f>'Limitation hausse'!M25</f>
        <v>0</v>
      </c>
      <c r="M26" s="613">
        <f>'Crédit contenu recyclé'!K21</f>
        <v>0</v>
      </c>
      <c r="N26" s="614">
        <f>INDEX(Paramètres!$F$49:$F$78,MATCH(C26,ListeMatières,0))</f>
        <v>0</v>
      </c>
      <c r="O26" s="627">
        <f>SUM(H26:N26)</f>
        <v>1744444.0671893624</v>
      </c>
      <c r="P26" s="616">
        <f>O26/G26</f>
        <v>314.93617435320243</v>
      </c>
    </row>
    <row r="27" spans="2:16" s="6" customFormat="1" ht="15" x14ac:dyDescent="0.25">
      <c r="B27" s="43" t="str">
        <f>'Sommaire exécutif'!A25</f>
        <v>Papier et carton TOTAL</v>
      </c>
      <c r="C27" s="10"/>
      <c r="D27" s="60">
        <f>SUBTOTAL(9,D20:D26)</f>
        <v>185511.76199999999</v>
      </c>
      <c r="E27" s="22">
        <f t="shared" ref="E27:O27" si="4">SUBTOTAL(9,E20:E26)</f>
        <v>119679.69410488293</v>
      </c>
      <c r="F27" s="22">
        <f t="shared" si="4"/>
        <v>65832.067895117085</v>
      </c>
      <c r="G27" s="29">
        <f t="shared" si="4"/>
        <v>185511.76199999999</v>
      </c>
      <c r="H27" s="469">
        <f t="shared" si="4"/>
        <v>2439672.5440806048</v>
      </c>
      <c r="I27" s="469">
        <f t="shared" si="4"/>
        <v>20584672.063119695</v>
      </c>
      <c r="J27" s="469">
        <f t="shared" si="4"/>
        <v>20426798.593073852</v>
      </c>
      <c r="K27" s="469">
        <f t="shared" si="4"/>
        <v>6611344.1608097199</v>
      </c>
      <c r="L27" s="469">
        <f t="shared" si="4"/>
        <v>0</v>
      </c>
      <c r="M27" s="469">
        <f t="shared" si="4"/>
        <v>0</v>
      </c>
      <c r="N27" s="469">
        <f t="shared" si="4"/>
        <v>0</v>
      </c>
      <c r="O27" s="550">
        <f t="shared" si="4"/>
        <v>50062487.361083873</v>
      </c>
      <c r="P27" s="507">
        <f>SUMPRODUCT(P20:P26,G20:G26)/SUM(G20:G26)</f>
        <v>269.85987773800218</v>
      </c>
    </row>
    <row r="28" spans="2:16" ht="15" x14ac:dyDescent="0.25">
      <c r="B28" s="46" t="str">
        <f>'Sommaire exécutif'!A26</f>
        <v>Plastique</v>
      </c>
      <c r="C28" s="37" t="str">
        <f>INDEX(ListeMatières,14)</f>
        <v>Bouteilles PET</v>
      </c>
      <c r="D28" s="598">
        <f>INDEX(tblMatières[Quantité générée (tonnes)],MATCH($C28,tblMatières[Matière],0))</f>
        <v>31023.692999999999</v>
      </c>
      <c r="E28" s="596">
        <f>INDEX(tblMatières[Quantité récupérée (tonnes)],MATCH($C28,tblMatières[Matière],0))</f>
        <v>21038.603224586255</v>
      </c>
      <c r="F28" s="596">
        <f t="shared" ref="F28:F38" si="5">D28-E28</f>
        <v>9985.0897754137441</v>
      </c>
      <c r="G28" s="597">
        <f>INDEX(tblMatières[Quantité déclarée (tonnes)],MATCH($C28,tblMatières[Matière],0))</f>
        <v>31023.692999999999</v>
      </c>
      <c r="H28" s="601">
        <f>'Frais de gestion &amp; RQ'!G27+'Frais de gestion &amp; RQ'!G35</f>
        <v>1002818.5028369577</v>
      </c>
      <c r="I28" s="602">
        <f>'Facteur 1'!H27+'Facteur 1'!H35</f>
        <v>4315942.7571319882</v>
      </c>
      <c r="J28" s="603">
        <f>'Facteur 2'!J27+'Facteur 2'!J35</f>
        <v>6125673.4650010187</v>
      </c>
      <c r="K28" s="604">
        <f>'Facteur 3'!L27+'Facteur 3'!L35</f>
        <v>1913658.317428947</v>
      </c>
      <c r="L28" s="618">
        <f>'Limitation hausse'!M27+'Limitation hausse'!M35</f>
        <v>0</v>
      </c>
      <c r="M28" s="618">
        <f>'Crédit contenu recyclé'!K23+'Crédit contenu recyclé'!K31</f>
        <v>253169.48297189537</v>
      </c>
      <c r="N28" s="606">
        <f>Paramètres!F62+Paramètres!F70</f>
        <v>0</v>
      </c>
      <c r="O28" s="620">
        <f>SUM(H28:N28)</f>
        <v>13611262.525370806</v>
      </c>
      <c r="P28" s="608">
        <f>ROUND(O28/(G28+G36),2)</f>
        <v>340.65</v>
      </c>
    </row>
    <row r="29" spans="2:16" ht="15" x14ac:dyDescent="0.25">
      <c r="B29" s="38"/>
      <c r="C29" s="37" t="str">
        <f>INDEX(ListeMatières,15)</f>
        <v>Bouteilles, tous formats, et contenants &lt; 5l. HDPE</v>
      </c>
      <c r="D29" s="58">
        <f>INDEX(tblMatières[Quantité générée (tonnes)],MATCH($C29,tblMatières[Matière],0))</f>
        <v>20311.441999999999</v>
      </c>
      <c r="E29" s="141">
        <f>INDEX(tblMatières[Quantité récupérée (tonnes)],MATCH($C29,tblMatières[Matière],0))</f>
        <v>13818.283875375495</v>
      </c>
      <c r="F29" s="141">
        <f t="shared" si="5"/>
        <v>6493.1581246245041</v>
      </c>
      <c r="G29" s="48">
        <f>INDEX(tblMatières[Quantité déclarée (tonnes)],MATCH($C29,tblMatières[Matière],0))</f>
        <v>20311.441999999999</v>
      </c>
      <c r="H29" s="621">
        <f>'Frais de gestion &amp; RQ'!G28</f>
        <v>509775.48881590762</v>
      </c>
      <c r="I29" s="466">
        <f>'Facteur 1'!H28</f>
        <v>2030310.3779501747</v>
      </c>
      <c r="J29" s="622">
        <f>'Facteur 2'!J28</f>
        <v>972927.53615697252</v>
      </c>
      <c r="K29" s="467">
        <f>'Facteur 3'!L28</f>
        <v>260565.24823890897</v>
      </c>
      <c r="L29" s="623">
        <f>'Limitation hausse'!M28</f>
        <v>0</v>
      </c>
      <c r="M29" s="623">
        <f>'Crédit contenu recyclé'!K24</f>
        <v>0</v>
      </c>
      <c r="N29" s="468">
        <f>INDEX(Paramètres!$F$49:$F$78,MATCH(C29,ListeMatières,0))</f>
        <v>0</v>
      </c>
      <c r="O29" s="556">
        <f>SUM(H29:N29)</f>
        <v>3773578.6511619636</v>
      </c>
      <c r="P29" s="502">
        <f>O29/G29</f>
        <v>185.78585662022243</v>
      </c>
    </row>
    <row r="30" spans="2:16" ht="14.25" customHeight="1" x14ac:dyDescent="0.25">
      <c r="B30" s="38"/>
      <c r="C30" s="37" t="str">
        <f>INDEX(ListeMatières,16)</f>
        <v>Plastiques stratifiés</v>
      </c>
      <c r="D30" s="58">
        <f>INDEX(tblMatières[Quantité générée (tonnes)],MATCH($C30,tblMatières[Matière],0))</f>
        <v>15885.589</v>
      </c>
      <c r="E30" s="141">
        <f>INDEX(tblMatières[Quantité récupérée (tonnes)],MATCH($C30,tblMatières[Matière],0))</f>
        <v>2566.4755872332394</v>
      </c>
      <c r="F30" s="141">
        <f t="shared" si="5"/>
        <v>13319.113412766761</v>
      </c>
      <c r="G30" s="48">
        <f>INDEX(tblMatières[Quantité déclarée (tonnes)],MATCH($C30,tblMatières[Matière],0))</f>
        <v>15885.589</v>
      </c>
      <c r="H30" s="621">
        <f>'Frais de gestion &amp; RQ'!G29</f>
        <v>398695.66609813349</v>
      </c>
      <c r="I30" s="466">
        <f>'Facteur 1'!H29</f>
        <v>4164681.2949899537</v>
      </c>
      <c r="J30" s="622">
        <f>'Facteur 2'!J29</f>
        <v>1398753.1058432288</v>
      </c>
      <c r="K30" s="467">
        <f>'Facteur 3'!L29</f>
        <v>4137265.3167579458</v>
      </c>
      <c r="L30" s="687">
        <f>SUM('Limitation hausse'!M29:M31)</f>
        <v>0</v>
      </c>
      <c r="M30" s="687">
        <f>SUM('Crédit contenu recyclé'!K25:K27)</f>
        <v>0</v>
      </c>
      <c r="N30" s="701">
        <f>SUM(Paramètres!F64:F66)</f>
        <v>0</v>
      </c>
      <c r="O30" s="556">
        <f>SUM(H30:N30)</f>
        <v>10099395.383689262</v>
      </c>
      <c r="P30" s="502">
        <f>O30/G30</f>
        <v>635.75832055640251</v>
      </c>
    </row>
    <row r="31" spans="2:16" ht="14.25" customHeight="1" x14ac:dyDescent="0.2">
      <c r="B31" s="38"/>
      <c r="C31" s="37" t="str">
        <f>INDEX(ListeMatières,17)</f>
        <v>Pellicules HDPE et LDPE</v>
      </c>
      <c r="D31" s="58">
        <f>INDEX(tblMatières[Quantité générée (tonnes)],MATCH($C31,tblMatières[Matière],0))</f>
        <v>20483.853999999999</v>
      </c>
      <c r="E31" s="141">
        <f>INDEX(tblMatières[Quantité récupérée (tonnes)],MATCH($C31,tblMatières[Matière],0))</f>
        <v>7126.9914428520478</v>
      </c>
      <c r="F31" s="141">
        <f t="shared" si="5"/>
        <v>13356.862557147952</v>
      </c>
      <c r="G31" s="48">
        <f>INDEX(tblMatières[Quantité déclarée (tonnes)],MATCH($C31,tblMatières[Matière],0))</f>
        <v>20483.853999999999</v>
      </c>
      <c r="H31" s="684">
        <f>SUM('Frais de gestion &amp; RQ'!G30:G31)</f>
        <v>766735.26950792561</v>
      </c>
      <c r="I31" s="682">
        <f>SUM('Facteur 1'!H30:H31)</f>
        <v>6827939.6646462716</v>
      </c>
      <c r="J31" s="680">
        <f>SUM('Facteur 2'!J30:J31)</f>
        <v>4534246.0743569508</v>
      </c>
      <c r="K31" s="678">
        <f>SUM('Facteur 3'!L30:L31)</f>
        <v>6476556.8126361389</v>
      </c>
      <c r="L31" s="687"/>
      <c r="M31" s="687"/>
      <c r="N31" s="701"/>
      <c r="O31" s="676">
        <f>SUM(H31:N32)</f>
        <v>18605477.821147285</v>
      </c>
      <c r="P31" s="502">
        <f>ROUND(O31/SUM(Tarif!G31:G32),2)</f>
        <v>609.02</v>
      </c>
    </row>
    <row r="32" spans="2:16" ht="14.25" customHeight="1" x14ac:dyDescent="0.2">
      <c r="B32" s="38"/>
      <c r="C32" s="37" t="str">
        <f>INDEX(ListeMatières,18)</f>
        <v>Sacs d'emplettes de pellicules HDPE et LDPE</v>
      </c>
      <c r="D32" s="58">
        <f>INDEX(tblMatières[Quantité générée (tonnes)],MATCH($C32,tblMatières[Matière],0))</f>
        <v>10065.867</v>
      </c>
      <c r="E32" s="141">
        <f>INDEX(tblMatières[Quantité récupérée (tonnes)],MATCH($C32,tblMatières[Matière],0))</f>
        <v>1586.2200315921225</v>
      </c>
      <c r="F32" s="141">
        <f t="shared" si="5"/>
        <v>8479.6469684078784</v>
      </c>
      <c r="G32" s="48">
        <f>INDEX(tblMatières[Quantité déclarée (tonnes)],MATCH($C32,tblMatières[Matière],0))</f>
        <v>10065.867</v>
      </c>
      <c r="H32" s="684"/>
      <c r="I32" s="682"/>
      <c r="J32" s="680"/>
      <c r="K32" s="678"/>
      <c r="L32" s="687"/>
      <c r="M32" s="687"/>
      <c r="N32" s="701"/>
      <c r="O32" s="676"/>
      <c r="P32" s="502">
        <f>P31</f>
        <v>609.02</v>
      </c>
    </row>
    <row r="33" spans="2:16" x14ac:dyDescent="0.2">
      <c r="B33" s="38"/>
      <c r="C33" s="37" t="str">
        <f>INDEX(ListeMatières,19)</f>
        <v>Polystyrène expansé alimentaire</v>
      </c>
      <c r="D33" s="58">
        <f>INDEX(tblMatières[Quantité générée (tonnes)],MATCH($C33,tblMatières[Matière],0))</f>
        <v>3369.3789999999999</v>
      </c>
      <c r="E33" s="141">
        <f>INDEX(tblMatières[Quantité récupérée (tonnes)],MATCH($C33,tblMatières[Matière],0))</f>
        <v>388.92322480010046</v>
      </c>
      <c r="F33" s="141">
        <f t="shared" si="5"/>
        <v>2980.4557751998996</v>
      </c>
      <c r="G33" s="48">
        <f>INDEX(tblMatières[Quantité déclarée (tonnes)],MATCH($C33,tblMatières[Matière],0))</f>
        <v>3369.3789999999999</v>
      </c>
      <c r="H33" s="624">
        <f>SUM('Frais de gestion &amp; RQ'!G32:G34) + 'Frais de gestion &amp; RQ'!G36</f>
        <v>226900.37149069231</v>
      </c>
      <c r="I33" s="544">
        <f>SUM('Facteur 1'!H32:H34) + 'Facteur 1'!H36</f>
        <v>2188588.1936907275</v>
      </c>
      <c r="J33" s="545">
        <f>SUM('Facteur 2'!J32:J34)+'Facteur 2'!J36</f>
        <v>1921879.1468785068</v>
      </c>
      <c r="K33" s="546">
        <f>SUM('Facteur 3'!L32:L34)+'Facteur 3'!L36</f>
        <v>4587032.360813274</v>
      </c>
      <c r="L33" s="547">
        <f>SUM('Limitation hausse'!M32:M34)+'Limitation hausse'!M36</f>
        <v>0</v>
      </c>
      <c r="M33" s="547">
        <f>SUM('Crédit contenu recyclé'!K28:K30)+'Crédit contenu recyclé'!K32</f>
        <v>0</v>
      </c>
      <c r="N33" s="701">
        <f>SUM(Paramètres!F67:F69)+Paramètres!F71</f>
        <v>0</v>
      </c>
      <c r="O33" s="676">
        <f>SUM(H33:N35)</f>
        <v>8924400.0728732012</v>
      </c>
      <c r="P33" s="502">
        <f>ROUND(O33/(SUM(Tarif!G33:G35) + G37),2)</f>
        <v>987.15</v>
      </c>
    </row>
    <row r="34" spans="2:16" x14ac:dyDescent="0.2">
      <c r="B34" s="259"/>
      <c r="C34" s="37" t="str">
        <f>INDEX(ListeMatières,20)</f>
        <v>Polystyrène expansé de protection</v>
      </c>
      <c r="D34" s="58">
        <f>INDEX(tblMatières[Quantité générée (tonnes)],MATCH($C34,tblMatières[Matière],0))</f>
        <v>1085.0350000000001</v>
      </c>
      <c r="E34" s="141">
        <f>INDEX(tblMatières[Quantité récupérée (tonnes)],MATCH($C34,tblMatières[Matière],0))</f>
        <v>407.00702106329919</v>
      </c>
      <c r="F34" s="141">
        <f>D34-E34</f>
        <v>678.02797893670095</v>
      </c>
      <c r="G34" s="48">
        <f>INDEX(tblMatières[Quantité déclarée (tonnes)],MATCH($C34,tblMatières[Matière],0))</f>
        <v>1085.0350000000001</v>
      </c>
      <c r="H34" s="624"/>
      <c r="I34" s="544"/>
      <c r="J34" s="545"/>
      <c r="K34" s="546"/>
      <c r="L34" s="547"/>
      <c r="M34" s="547"/>
      <c r="N34" s="701"/>
      <c r="O34" s="676"/>
      <c r="P34" s="502">
        <f>P33</f>
        <v>987.15</v>
      </c>
    </row>
    <row r="35" spans="2:16" x14ac:dyDescent="0.2">
      <c r="B35" s="38"/>
      <c r="C35" s="37" t="str">
        <f>INDEX(ListeMatières,21)</f>
        <v>Polystyrène non expansé</v>
      </c>
      <c r="D35" s="58">
        <f>INDEX(tblMatières[Quantité générée (tonnes)],MATCH($C35,tblMatières[Matière],0))</f>
        <v>4235.3710000000001</v>
      </c>
      <c r="E35" s="141">
        <f>INDEX(tblMatières[Quantité récupérée (tonnes)],MATCH($C35,tblMatières[Matière],0))</f>
        <v>1053.7743325675031</v>
      </c>
      <c r="F35" s="141">
        <f t="shared" si="5"/>
        <v>3181.5966674324973</v>
      </c>
      <c r="G35" s="48">
        <f>INDEX(tblMatières[Quantité déclarée (tonnes)],MATCH($C35,tblMatières[Matière],0))</f>
        <v>4235.3710000000001</v>
      </c>
      <c r="H35" s="624"/>
      <c r="I35" s="544"/>
      <c r="J35" s="545"/>
      <c r="K35" s="546"/>
      <c r="L35" s="547"/>
      <c r="M35" s="547"/>
      <c r="N35" s="701"/>
      <c r="O35" s="676"/>
      <c r="P35" s="502">
        <f>P33</f>
        <v>987.15</v>
      </c>
    </row>
    <row r="36" spans="2:16" x14ac:dyDescent="0.2">
      <c r="B36" s="38"/>
      <c r="C36" s="37" t="str">
        <f>INDEX(ListeMatières,22)</f>
        <v>Contenants de PET</v>
      </c>
      <c r="D36" s="58">
        <f>INDEX(tblMatières[Quantité générée (tonnes)],MATCH($C36,tblMatières[Matière],0))</f>
        <v>8932.5040000000008</v>
      </c>
      <c r="E36" s="141">
        <f>INDEX(tblMatières[Quantité récupérée (tonnes)],MATCH($C36,tblMatières[Matière],0))</f>
        <v>5114.7294039183307</v>
      </c>
      <c r="F36" s="141">
        <f t="shared" si="5"/>
        <v>3817.7745960816701</v>
      </c>
      <c r="G36" s="48">
        <f>INDEX(tblMatières[Quantité déclarée (tonnes)],MATCH($C36,tblMatières[Matière],0))</f>
        <v>8932.5040000000008</v>
      </c>
      <c r="H36" s="698" t="s">
        <v>190</v>
      </c>
      <c r="I36" s="699"/>
      <c r="J36" s="699"/>
      <c r="K36" s="699"/>
      <c r="L36" s="699"/>
      <c r="M36" s="699"/>
      <c r="N36" s="699"/>
      <c r="O36" s="700"/>
      <c r="P36" s="502">
        <f>P28</f>
        <v>340.65</v>
      </c>
    </row>
    <row r="37" spans="2:16" x14ac:dyDescent="0.2">
      <c r="B37" s="38"/>
      <c r="C37" s="37" t="str">
        <f>INDEX(ListeMatières,23)</f>
        <v>Acide polylactique (PLA) et autres plastiques dégradables</v>
      </c>
      <c r="D37" s="58">
        <f>INDEX(tblMatières[Quantité générée (tonnes)],MATCH($C37,tblMatières[Matière],0))</f>
        <v>350.81</v>
      </c>
      <c r="E37" s="141">
        <f>INDEX(tblMatières[Quantité récupérée (tonnes)],MATCH($C37,tblMatières[Matière],0))</f>
        <v>191.54226000000003</v>
      </c>
      <c r="F37" s="141">
        <f t="shared" si="5"/>
        <v>159.26773999999997</v>
      </c>
      <c r="G37" s="48">
        <f>INDEX(tblMatières[Quantité déclarée (tonnes)],MATCH($C37,tblMatières[Matière],0))</f>
        <v>350.81</v>
      </c>
      <c r="H37" s="698" t="s">
        <v>189</v>
      </c>
      <c r="I37" s="699"/>
      <c r="J37" s="699"/>
      <c r="K37" s="699"/>
      <c r="L37" s="699"/>
      <c r="M37" s="699"/>
      <c r="N37" s="699"/>
      <c r="O37" s="700"/>
      <c r="P37" s="502">
        <f>P33</f>
        <v>987.15</v>
      </c>
    </row>
    <row r="38" spans="2:16" ht="15" x14ac:dyDescent="0.25">
      <c r="B38" s="38"/>
      <c r="C38" s="37" t="str">
        <f>INDEX(ListeMatières,24)</f>
        <v>Autres plastiques, polymères et polyuréthane</v>
      </c>
      <c r="D38" s="210">
        <f>INDEX(tblMatières[Quantité générée (tonnes)],MATCH($C38,tblMatières[Matière],0))</f>
        <v>37245.540999999997</v>
      </c>
      <c r="E38" s="184">
        <f>INDEX(tblMatières[Quantité récupérée (tonnes)],MATCH($C38,tblMatières[Matière],0))</f>
        <v>16276.301416999999</v>
      </c>
      <c r="F38" s="184">
        <f t="shared" si="5"/>
        <v>20969.239582999999</v>
      </c>
      <c r="G38" s="600">
        <f>INDEX(tblMatières[Quantité déclarée (tonnes)],MATCH($C38,tblMatières[Matière],0))</f>
        <v>37245.540999999997</v>
      </c>
      <c r="H38" s="609">
        <f>'Frais de gestion &amp; RQ'!G37</f>
        <v>934786.60301360814</v>
      </c>
      <c r="I38" s="610">
        <f>'Facteur 1'!H37</f>
        <v>6556757.7326711919</v>
      </c>
      <c r="J38" s="611">
        <f>'Facteur 2'!J37</f>
        <v>4378337.9707305338</v>
      </c>
      <c r="K38" s="612">
        <f>'Facteur 3'!L37</f>
        <v>3214921.4732093359</v>
      </c>
      <c r="L38" s="625">
        <f>'Limitation hausse'!M37</f>
        <v>0</v>
      </c>
      <c r="M38" s="625">
        <f>'Crédit contenu recyclé'!K33</f>
        <v>0</v>
      </c>
      <c r="N38" s="614">
        <f>Paramètres!F72</f>
        <v>0</v>
      </c>
      <c r="O38" s="615">
        <f>SUM(H38:N38)</f>
        <v>15084803.779624671</v>
      </c>
      <c r="P38" s="616">
        <f>ROUND(O38 /G38,2)</f>
        <v>405.01</v>
      </c>
    </row>
    <row r="39" spans="2:16" s="6" customFormat="1" ht="15" x14ac:dyDescent="0.25">
      <c r="B39" s="43" t="str">
        <f>'Sommaire exécutif'!A37</f>
        <v>Plastique TOTAL</v>
      </c>
      <c r="C39" s="10"/>
      <c r="D39" s="61">
        <f>SUBTOTAL(9,D28:D38)</f>
        <v>152989.08499999996</v>
      </c>
      <c r="E39" s="24">
        <f t="shared" ref="E39:O39" si="6">SUBTOTAL(9,E28:E38)</f>
        <v>69568.851820988391</v>
      </c>
      <c r="F39" s="24">
        <f t="shared" si="6"/>
        <v>83420.2331790116</v>
      </c>
      <c r="G39" s="30">
        <f t="shared" si="6"/>
        <v>152989.08499999996</v>
      </c>
      <c r="H39" s="469">
        <f t="shared" si="6"/>
        <v>3839711.901763225</v>
      </c>
      <c r="I39" s="469">
        <f t="shared" si="6"/>
        <v>26084220.021080308</v>
      </c>
      <c r="J39" s="469">
        <f t="shared" si="6"/>
        <v>19331817.298967212</v>
      </c>
      <c r="K39" s="469">
        <f t="shared" si="6"/>
        <v>20589999.529084552</v>
      </c>
      <c r="L39" s="469">
        <f t="shared" si="6"/>
        <v>0</v>
      </c>
      <c r="M39" s="469">
        <f t="shared" si="6"/>
        <v>253169.48297189537</v>
      </c>
      <c r="N39" s="469">
        <f t="shared" si="6"/>
        <v>0</v>
      </c>
      <c r="O39" s="550">
        <f t="shared" si="6"/>
        <v>70098918.233867198</v>
      </c>
      <c r="P39" s="507">
        <f>SUMPRODUCT(P28:P38,G28:G38)/SUM(G28:G38)</f>
        <v>458.19401783454839</v>
      </c>
    </row>
    <row r="40" spans="2:16" ht="15" x14ac:dyDescent="0.25">
      <c r="B40" s="46" t="str">
        <f>'Sommaire exécutif'!A38</f>
        <v>Aluminium</v>
      </c>
      <c r="C40" s="37" t="str">
        <f>INDEX(ListeMatières,25)</f>
        <v>Contenants pour aliments et breuvages en aluminium</v>
      </c>
      <c r="D40" s="598">
        <f>INDEX(tblMatières[Quantité générée (tonnes)],MATCH($C40,tblMatières[Matière],0))</f>
        <v>4037.5839999999998</v>
      </c>
      <c r="E40" s="596">
        <f>INDEX(tblMatières[Quantité récupérée (tonnes)],MATCH($C40,tblMatières[Matière],0))</f>
        <v>1946.6893408439882</v>
      </c>
      <c r="F40" s="596">
        <f>D40-E40</f>
        <v>2090.8946591560116</v>
      </c>
      <c r="G40" s="597">
        <f>INDEX(tblMatières[Quantité déclarée (tonnes)],MATCH($C40,tblMatières[Matière],0))</f>
        <v>4037.5839999999998</v>
      </c>
      <c r="H40" s="683">
        <f>SUM('Frais de gestion &amp; RQ'!G39:G40)</f>
        <v>184282.2978516458</v>
      </c>
      <c r="I40" s="681">
        <f>SUM('Facteur 1'!H39:H40)</f>
        <v>1768710.1245231763</v>
      </c>
      <c r="J40" s="679">
        <f>SUM('Facteur 2'!J39:J40)</f>
        <v>-218535.77986650751</v>
      </c>
      <c r="K40" s="677">
        <f>SUM('Facteur 3'!L39:L40)</f>
        <v>38868.869524052716</v>
      </c>
      <c r="L40" s="692">
        <f>SUM('Limitation hausse'!M39:M40)</f>
        <v>0</v>
      </c>
      <c r="M40" s="692">
        <f>'Crédit contenu recyclé'!K35+'Crédit contenu recyclé'!K36</f>
        <v>0</v>
      </c>
      <c r="N40" s="688">
        <f>SUM(Paramètres!F73:F74)</f>
        <v>0</v>
      </c>
      <c r="O40" s="690">
        <f>SUM(H40:N41)</f>
        <v>1773325.5120323673</v>
      </c>
      <c r="P40" s="608">
        <f>ROUND(O40/SUM(Tarif!G40:G41),2)</f>
        <v>221.64</v>
      </c>
    </row>
    <row r="41" spans="2:16" ht="15" x14ac:dyDescent="0.25">
      <c r="B41" s="46"/>
      <c r="C41" s="37" t="str">
        <f>INDEX(ListeMatières,26)</f>
        <v>Autres contenants et emballages en aluminium</v>
      </c>
      <c r="D41" s="210">
        <f>INDEX(tblMatières[Quantité générée (tonnes)],MATCH($C41,tblMatières[Matière],0))</f>
        <v>3963.2570000000001</v>
      </c>
      <c r="E41" s="184">
        <f>INDEX(tblMatières[Quantité récupérée (tonnes)],MATCH($C41,tblMatières[Matière],0))</f>
        <v>397.62020471495117</v>
      </c>
      <c r="F41" s="184">
        <f>D41-E41</f>
        <v>3565.6367952850487</v>
      </c>
      <c r="G41" s="600">
        <f>INDEX(tblMatières[Quantité déclarée (tonnes)],MATCH($C41,tblMatières[Matière],0))</f>
        <v>3963.2570000000001</v>
      </c>
      <c r="H41" s="702"/>
      <c r="I41" s="703"/>
      <c r="J41" s="704"/>
      <c r="K41" s="705"/>
      <c r="L41" s="693"/>
      <c r="M41" s="693"/>
      <c r="N41" s="689"/>
      <c r="O41" s="691"/>
      <c r="P41" s="616">
        <f>P40</f>
        <v>221.64</v>
      </c>
    </row>
    <row r="42" spans="2:16" s="6" customFormat="1" ht="15" x14ac:dyDescent="0.25">
      <c r="B42" s="43" t="str">
        <f>'Sommaire exécutif'!A40</f>
        <v>Aluminium TOTAL</v>
      </c>
      <c r="C42" s="10"/>
      <c r="D42" s="60">
        <f>SUBTOTAL(9,D40:D41)</f>
        <v>8000.8410000000003</v>
      </c>
      <c r="E42" s="22">
        <f t="shared" ref="E42:O42" si="7">SUBTOTAL(9,E40:E41)</f>
        <v>2344.3095455589396</v>
      </c>
      <c r="F42" s="22">
        <f t="shared" si="7"/>
        <v>5656.5314544410603</v>
      </c>
      <c r="G42" s="29">
        <f t="shared" si="7"/>
        <v>8000.8410000000003</v>
      </c>
      <c r="H42" s="469">
        <f t="shared" si="7"/>
        <v>184282.2978516458</v>
      </c>
      <c r="I42" s="469">
        <f t="shared" si="7"/>
        <v>1768710.1245231763</v>
      </c>
      <c r="J42" s="469">
        <f t="shared" si="7"/>
        <v>-218535.77986650751</v>
      </c>
      <c r="K42" s="469">
        <f t="shared" si="7"/>
        <v>38868.869524052716</v>
      </c>
      <c r="L42" s="499">
        <f t="shared" si="7"/>
        <v>0</v>
      </c>
      <c r="M42" s="499">
        <f t="shared" si="7"/>
        <v>0</v>
      </c>
      <c r="N42" s="499">
        <f t="shared" si="7"/>
        <v>0</v>
      </c>
      <c r="O42" s="551">
        <f t="shared" si="7"/>
        <v>1773325.5120323673</v>
      </c>
      <c r="P42" s="507">
        <f>SUMPRODUCT(P40:P41,G40:G41)/SUM(G40:G41)</f>
        <v>221.64</v>
      </c>
    </row>
    <row r="43" spans="2:16" ht="15" x14ac:dyDescent="0.25">
      <c r="B43" s="46" t="str">
        <f>'Sommaire exécutif'!A41</f>
        <v>Acier</v>
      </c>
      <c r="C43" s="37" t="str">
        <f>INDEX(ListeMatières,27)</f>
        <v>Bombes aérosol en acier</v>
      </c>
      <c r="D43" s="598">
        <f>INDEX(tblMatières[Quantité générée (tonnes)],MATCH($C43,tblMatières[Matière],0))</f>
        <v>1741.7629999999999</v>
      </c>
      <c r="E43" s="596">
        <f>INDEX(tblMatières[Quantité récupérée (tonnes)],MATCH($C43,tblMatières[Matière],0))</f>
        <v>305.33105390000003</v>
      </c>
      <c r="F43" s="596">
        <f>D43-E43</f>
        <v>1436.4319461</v>
      </c>
      <c r="G43" s="597">
        <f>INDEX(tblMatières[Quantité déclarée (tonnes)],MATCH($C43,tblMatières[Matière],0))</f>
        <v>1741.7629999999999</v>
      </c>
      <c r="H43" s="683">
        <f>SUM('Frais de gestion &amp; RQ'!G42:G43)</f>
        <v>625245.40995691833</v>
      </c>
      <c r="I43" s="681">
        <f>SUM('Facteur 1'!H42:H43)</f>
        <v>3240606.5699841809</v>
      </c>
      <c r="J43" s="679">
        <f>SUM('Facteur 2'!J42:J43)</f>
        <v>1067312.8172683297</v>
      </c>
      <c r="K43" s="677">
        <f>SUM('Facteur 3'!L42:L43)</f>
        <v>346932.0695844568</v>
      </c>
      <c r="L43" s="692">
        <f>SUM('Limitation hausse'!M42:M43)</f>
        <v>0</v>
      </c>
      <c r="M43" s="692">
        <f>'Crédit contenu recyclé'!K38+'Crédit contenu recyclé'!K39</f>
        <v>0</v>
      </c>
      <c r="N43" s="694">
        <f>SUM(Paramètres!F75:F76)</f>
        <v>0</v>
      </c>
      <c r="O43" s="690">
        <f>SUM(H43:N44)</f>
        <v>5280096.8667938858</v>
      </c>
      <c r="P43" s="608">
        <f>ROUND(O43 /SUM(Tarif!G43:G44),2)</f>
        <v>194.51</v>
      </c>
    </row>
    <row r="44" spans="2:16" ht="15" x14ac:dyDescent="0.25">
      <c r="B44" s="46"/>
      <c r="C44" s="37" t="str">
        <f>INDEX(ListeMatières,28)</f>
        <v>Autres contenants en acier</v>
      </c>
      <c r="D44" s="210">
        <f>INDEX(tblMatières[Quantité générée (tonnes)],MATCH($C44,tblMatières[Matière],0))</f>
        <v>25404.03</v>
      </c>
      <c r="E44" s="184">
        <f>INDEX(tblMatières[Quantité récupérée (tonnes)],MATCH($C44,tblMatières[Matière],0))</f>
        <v>16476.642154247114</v>
      </c>
      <c r="F44" s="184">
        <f>D44-E44</f>
        <v>8927.3878457528845</v>
      </c>
      <c r="G44" s="600">
        <f>INDEX(tblMatières[Quantité déclarée (tonnes)],MATCH($C44,tblMatières[Matière],0))</f>
        <v>25404.03</v>
      </c>
      <c r="H44" s="702"/>
      <c r="I44" s="703"/>
      <c r="J44" s="704"/>
      <c r="K44" s="705"/>
      <c r="L44" s="693"/>
      <c r="M44" s="693"/>
      <c r="N44" s="695"/>
      <c r="O44" s="691"/>
      <c r="P44" s="616">
        <f>P43</f>
        <v>194.51</v>
      </c>
    </row>
    <row r="45" spans="2:16" ht="15" x14ac:dyDescent="0.25">
      <c r="B45" s="43" t="str">
        <f>'Sommaire exécutif'!A43</f>
        <v>Acier TOTAL</v>
      </c>
      <c r="C45" s="10"/>
      <c r="D45" s="60">
        <f t="shared" ref="D45:O45" si="8">SUBTOTAL(9,D43:D44)</f>
        <v>27145.792999999998</v>
      </c>
      <c r="E45" s="22">
        <f t="shared" si="8"/>
        <v>16781.973208147116</v>
      </c>
      <c r="F45" s="22">
        <f t="shared" si="8"/>
        <v>10363.819791852884</v>
      </c>
      <c r="G45" s="29">
        <f t="shared" si="8"/>
        <v>27145.792999999998</v>
      </c>
      <c r="H45" s="469">
        <f t="shared" si="8"/>
        <v>625245.40995691833</v>
      </c>
      <c r="I45" s="469">
        <f t="shared" si="8"/>
        <v>3240606.5699841809</v>
      </c>
      <c r="J45" s="469">
        <f t="shared" si="8"/>
        <v>1067312.8172683297</v>
      </c>
      <c r="K45" s="469">
        <f t="shared" si="8"/>
        <v>346932.0695844568</v>
      </c>
      <c r="L45" s="469">
        <f t="shared" si="8"/>
        <v>0</v>
      </c>
      <c r="M45" s="469">
        <f t="shared" si="8"/>
        <v>0</v>
      </c>
      <c r="N45" s="469">
        <f t="shared" si="8"/>
        <v>0</v>
      </c>
      <c r="O45" s="550">
        <f t="shared" si="8"/>
        <v>5280096.8667938858</v>
      </c>
      <c r="P45" s="507">
        <f>SUMPRODUCT(P43:P44,G43:G44)/SUM(G43:G44)</f>
        <v>194.51</v>
      </c>
    </row>
    <row r="46" spans="2:16" ht="15" x14ac:dyDescent="0.25">
      <c r="B46" s="46" t="str">
        <f>'Sommaire exécutif'!A44</f>
        <v>Verre</v>
      </c>
      <c r="C46" s="37" t="str">
        <f>INDEX(ListeMatières,29)</f>
        <v>Verre clair</v>
      </c>
      <c r="D46" s="598">
        <f>INDEX(tblMatières[Quantité générée (tonnes)],MATCH($C46,tblMatières[Matière],0))</f>
        <v>64834.576999999997</v>
      </c>
      <c r="E46" s="596">
        <f>INDEX(tblMatières[Quantité récupérée (tonnes)],MATCH($C46,tblMatières[Matière],0))</f>
        <v>51115.154889588826</v>
      </c>
      <c r="F46" s="596">
        <f>D46-E46</f>
        <v>13719.422110411171</v>
      </c>
      <c r="G46" s="597">
        <f>INDEX(tblMatières[Quantité déclarée (tonnes)],MATCH($C46,tblMatières[Matière],0))</f>
        <v>64834.576999999997</v>
      </c>
      <c r="H46" s="601">
        <f>'Frais de gestion &amp; RQ'!G45</f>
        <v>432930.7673477261</v>
      </c>
      <c r="I46" s="602">
        <f>'Facteur 1'!H45</f>
        <v>4289851.6493247589</v>
      </c>
      <c r="J46" s="603">
        <f>'Facteur 2'!J45</f>
        <v>9088869.7832823154</v>
      </c>
      <c r="K46" s="604">
        <f>'Facteur 3'!L45</f>
        <v>1390369.2293882316</v>
      </c>
      <c r="L46" s="605">
        <f>'Limitation hausse'!M45</f>
        <v>0</v>
      </c>
      <c r="M46" s="605">
        <f>'Crédit contenu recyclé'!K41</f>
        <v>0</v>
      </c>
      <c r="N46" s="606">
        <f>Paramètres!F77</f>
        <v>0</v>
      </c>
      <c r="O46" s="607">
        <f>SUM(H46:N46)</f>
        <v>15202021.429343032</v>
      </c>
      <c r="P46" s="608">
        <f>ROUND(O46/G46,2)</f>
        <v>234.47</v>
      </c>
    </row>
    <row r="47" spans="2:16" ht="15" x14ac:dyDescent="0.25">
      <c r="B47" s="46"/>
      <c r="C47" s="37" t="str">
        <f>INDEX(ListeMatières,30)</f>
        <v>Verre coloré</v>
      </c>
      <c r="D47" s="58">
        <f>INDEX(tblMatières[Quantité générée (tonnes)],MATCH($C47,tblMatières[Matière],0))</f>
        <v>85096.618000000002</v>
      </c>
      <c r="E47" s="141">
        <f>INDEX(tblMatières[Quantité récupérée (tonnes)],MATCH($C47,tblMatières[Matière],0))</f>
        <v>67089.615000498467</v>
      </c>
      <c r="F47" s="141">
        <f>D47-E47</f>
        <v>18007.002999501536</v>
      </c>
      <c r="G47" s="48">
        <f>INDEX(tblMatières[Quantité déclarée (tonnes)],MATCH($C47,tblMatières[Matière],0))</f>
        <v>85096.618000000002</v>
      </c>
      <c r="H47" s="621">
        <f>'Frais de gestion &amp; RQ'!G46</f>
        <v>568229.88216173579</v>
      </c>
      <c r="I47" s="466">
        <f>'Facteur 1'!H46</f>
        <v>5630512.0503718089</v>
      </c>
      <c r="J47" s="622">
        <f>'Facteur 2'!J46</f>
        <v>12026718.105037536</v>
      </c>
      <c r="K47" s="467">
        <f>'Facteur 3'!L46</f>
        <v>1839786.3741570488</v>
      </c>
      <c r="L47" s="623">
        <f>'Limitation hausse'!M46</f>
        <v>0</v>
      </c>
      <c r="M47" s="623">
        <f>'Crédit contenu recyclé'!K42</f>
        <v>0</v>
      </c>
      <c r="N47" s="468">
        <f>Paramètres!F78</f>
        <v>0</v>
      </c>
      <c r="O47" s="556">
        <f>SUM(H47:N47)</f>
        <v>20065246.411728129</v>
      </c>
      <c r="P47" s="502">
        <f>ROUND(O47/G47,2)</f>
        <v>235.79</v>
      </c>
    </row>
    <row r="48" spans="2:16" ht="15" x14ac:dyDescent="0.25">
      <c r="B48" s="46"/>
      <c r="C48" s="37" t="str">
        <f>INDEX(ListeMatières,31)</f>
        <v>Céramique</v>
      </c>
      <c r="D48" s="58">
        <f>INDEX(tblMatières[Quantité générée (tonnes)],MATCH($C48,tblMatières[Matière],0))</f>
        <v>678</v>
      </c>
      <c r="E48" s="141">
        <f>INDEX(tblMatières[Quantité récupérée (tonnes)],MATCH($C48,tblMatières[Matière],0))</f>
        <v>166.78800000000001</v>
      </c>
      <c r="F48" s="141">
        <f>D48-E48</f>
        <v>511.21199999999999</v>
      </c>
      <c r="G48" s="48">
        <f>INDEX(tblMatières[Quantité déclarée (tonnes)],MATCH($C48,tblMatières[Matière],0))</f>
        <v>678</v>
      </c>
      <c r="H48" s="621">
        <f>'Frais de gestion &amp; RQ'!G47</f>
        <v>4527.3227827294686</v>
      </c>
      <c r="I48" s="466">
        <f>'Facteur 1'!H47</f>
        <v>159848.10611595676</v>
      </c>
      <c r="J48" s="622">
        <f>'Facteur 2'!J47</f>
        <v>35439.766757138917</v>
      </c>
      <c r="K48" s="467">
        <f>'Facteur 3'!L47</f>
        <v>61910.05971187602</v>
      </c>
      <c r="L48" s="623"/>
      <c r="M48" s="623"/>
      <c r="N48" s="468"/>
      <c r="O48" s="556">
        <f>SUM(H48:N48)</f>
        <v>261725.25536770117</v>
      </c>
      <c r="P48" s="502">
        <f>ROUND(O48/G48,2)</f>
        <v>386.03</v>
      </c>
    </row>
    <row r="49" spans="2:16" s="6" customFormat="1" ht="15.75" thickBot="1" x14ac:dyDescent="0.3">
      <c r="B49" s="57" t="str">
        <f>'Sommaire exécutif'!A47</f>
        <v>Verre TOTAL</v>
      </c>
      <c r="C49" s="14"/>
      <c r="D49" s="211">
        <f t="shared" ref="D49:F49" si="9">SUBTOTAL(9,D46:D47)</f>
        <v>149931.19500000001</v>
      </c>
      <c r="E49" s="217">
        <f t="shared" si="9"/>
        <v>118204.76989008729</v>
      </c>
      <c r="F49" s="217">
        <f t="shared" si="9"/>
        <v>31726.425109912707</v>
      </c>
      <c r="G49" s="518">
        <f>SUBTOTAL(9,G46:G48)</f>
        <v>150609.19500000001</v>
      </c>
      <c r="H49" s="471">
        <f>SUBTOTAL(9,H46:H48)</f>
        <v>1005687.9722921913</v>
      </c>
      <c r="I49" s="471">
        <f>SUBTOTAL(9,I46:I48)</f>
        <v>10080211.805812523</v>
      </c>
      <c r="J49" s="471">
        <f>SUBTOTAL(9,J46:J48)</f>
        <v>21151027.655076988</v>
      </c>
      <c r="K49" s="471">
        <f>SUBTOTAL(9,K46:K48)</f>
        <v>3292065.663257156</v>
      </c>
      <c r="L49" s="471">
        <f t="shared" ref="L49:M49" si="10">SUBTOTAL(9,L46:L47)</f>
        <v>0</v>
      </c>
      <c r="M49" s="471">
        <f t="shared" si="10"/>
        <v>0</v>
      </c>
      <c r="N49" s="471">
        <f t="shared" ref="N49" si="11">SUBTOTAL(9,N46:N47)</f>
        <v>0</v>
      </c>
      <c r="O49" s="552">
        <f>SUBTOTAL(9,O46:O48)</f>
        <v>35528993.096438862</v>
      </c>
      <c r="P49" s="519">
        <f>SUMPRODUCT(P46:P48,G46:G48)/SUM(G46:G48)</f>
        <v>235.8981014898194</v>
      </c>
    </row>
    <row r="50" spans="2:16" s="6" customFormat="1" ht="16.5" thickTop="1" thickBot="1" x14ac:dyDescent="0.3">
      <c r="B50" s="56" t="str">
        <f>'Sommaire exécutif'!A48</f>
        <v>CONTENANTS ET EMBALLAGES TOTAL</v>
      </c>
      <c r="C50" s="23"/>
      <c r="D50" s="283">
        <f>SUBTOTAL(9,D20:D49)</f>
        <v>524256.67600000004</v>
      </c>
      <c r="E50" s="516">
        <f t="shared" ref="E50:K50" si="12">SUBTOTAL(9,E20:E49)</f>
        <v>326746.38656966464</v>
      </c>
      <c r="F50" s="516">
        <f t="shared" si="12"/>
        <v>197510.28943033531</v>
      </c>
      <c r="G50" s="517">
        <f t="shared" si="12"/>
        <v>524256.67600000004</v>
      </c>
      <c r="H50" s="470">
        <f t="shared" si="12"/>
        <v>8094600.1259445855</v>
      </c>
      <c r="I50" s="470">
        <f t="shared" si="12"/>
        <v>61758420.584519893</v>
      </c>
      <c r="J50" s="470">
        <f t="shared" si="12"/>
        <v>61758420.584519871</v>
      </c>
      <c r="K50" s="470">
        <f t="shared" si="12"/>
        <v>30879210.292259939</v>
      </c>
      <c r="L50" s="470">
        <f t="shared" ref="L50:O50" si="13">SUBTOTAL(9,L20:L49)</f>
        <v>0</v>
      </c>
      <c r="M50" s="470">
        <f t="shared" si="13"/>
        <v>253169.48297189537</v>
      </c>
      <c r="N50" s="470">
        <f t="shared" ref="N50" si="14">SUBTOTAL(9,N20:N49)</f>
        <v>0</v>
      </c>
      <c r="O50" s="549">
        <f t="shared" si="13"/>
        <v>162743821.07021618</v>
      </c>
      <c r="P50" s="508">
        <f>(P27*G27 + P39*G39 + P42*G42 + P45*G45 + P49*G49) / G50</f>
        <v>310.42565629882898</v>
      </c>
    </row>
    <row r="51" spans="2:16" ht="6" customHeight="1" x14ac:dyDescent="0.25">
      <c r="B51" s="38"/>
      <c r="D51" s="38"/>
      <c r="G51" s="8"/>
      <c r="H51" s="295"/>
      <c r="I51" s="300"/>
      <c r="J51" s="300"/>
      <c r="K51" s="300"/>
      <c r="L51" s="295"/>
      <c r="M51" s="295"/>
      <c r="N51" s="295"/>
      <c r="O51" s="555"/>
      <c r="P51" s="505"/>
    </row>
    <row r="52" spans="2:16" s="6" customFormat="1" ht="15.75" thickBot="1" x14ac:dyDescent="0.3">
      <c r="B52" s="57" t="str">
        <f>'Sommaire exécutif'!A50</f>
        <v>TOTAL</v>
      </c>
      <c r="C52" s="14"/>
      <c r="D52" s="62">
        <f>SUBTOTAL(9,D11:D50)</f>
        <v>622392.90399999998</v>
      </c>
      <c r="E52" s="25">
        <f t="shared" ref="E52:O52" si="15">SUBTOTAL(9,E11:E50)</f>
        <v>404394.7324863039</v>
      </c>
      <c r="F52" s="25">
        <f t="shared" si="15"/>
        <v>217998.17151369603</v>
      </c>
      <c r="G52" s="31">
        <f t="shared" si="15"/>
        <v>622392.90399999998</v>
      </c>
      <c r="H52" s="471">
        <f t="shared" si="15"/>
        <v>9405000.0000000019</v>
      </c>
      <c r="I52" s="471">
        <f t="shared" si="15"/>
        <v>79318850.613360018</v>
      </c>
      <c r="J52" s="471">
        <f t="shared" si="15"/>
        <v>79318850.613360018</v>
      </c>
      <c r="K52" s="471">
        <f t="shared" si="15"/>
        <v>39659425.306680001</v>
      </c>
      <c r="L52" s="471">
        <f t="shared" si="15"/>
        <v>0</v>
      </c>
      <c r="M52" s="471">
        <f t="shared" si="15"/>
        <v>480362.82440986641</v>
      </c>
      <c r="N52" s="471">
        <f t="shared" si="15"/>
        <v>0</v>
      </c>
      <c r="O52" s="552">
        <f t="shared" si="15"/>
        <v>208182489.3578099</v>
      </c>
      <c r="P52" s="506">
        <f>(P17*G17 + P50*G50)/G52</f>
        <v>334.48504122849477</v>
      </c>
    </row>
    <row r="53" spans="2:16" ht="15" thickTop="1" x14ac:dyDescent="0.2">
      <c r="B53" s="37"/>
      <c r="H53" s="37"/>
    </row>
    <row r="54" spans="2:16" x14ac:dyDescent="0.2">
      <c r="H54" s="37"/>
    </row>
    <row r="55" spans="2:16" x14ac:dyDescent="0.2">
      <c r="H55" s="37"/>
    </row>
    <row r="56" spans="2:16" x14ac:dyDescent="0.2">
      <c r="C56" s="37"/>
      <c r="D56" s="439"/>
      <c r="H56" s="37"/>
    </row>
    <row r="57" spans="2:16" x14ac:dyDescent="0.2">
      <c r="D57" s="439"/>
      <c r="H57" s="37"/>
    </row>
    <row r="58" spans="2:16" x14ac:dyDescent="0.2">
      <c r="H58" s="37"/>
    </row>
    <row r="59" spans="2:16" x14ac:dyDescent="0.2">
      <c r="H59" s="37"/>
    </row>
    <row r="60" spans="2:16" x14ac:dyDescent="0.2">
      <c r="H60" s="37"/>
    </row>
    <row r="61" spans="2:16" x14ac:dyDescent="0.2">
      <c r="H61" s="37"/>
    </row>
    <row r="62" spans="2:16" x14ac:dyDescent="0.2">
      <c r="H62" s="37"/>
    </row>
    <row r="63" spans="2:16" x14ac:dyDescent="0.2">
      <c r="H63" s="37"/>
    </row>
    <row r="64" spans="2:16" x14ac:dyDescent="0.2">
      <c r="H64" s="37"/>
    </row>
    <row r="65" spans="8:8" x14ac:dyDescent="0.2">
      <c r="H65" s="37"/>
    </row>
    <row r="66" spans="8:8" x14ac:dyDescent="0.2">
      <c r="H66" s="37"/>
    </row>
    <row r="67" spans="8:8" x14ac:dyDescent="0.2">
      <c r="H67" s="37"/>
    </row>
    <row r="68" spans="8:8" x14ac:dyDescent="0.2">
      <c r="H68" s="37"/>
    </row>
    <row r="69" spans="8:8" x14ac:dyDescent="0.2">
      <c r="H69" s="37"/>
    </row>
    <row r="70" spans="8:8" x14ac:dyDescent="0.2">
      <c r="H70" s="37"/>
    </row>
    <row r="71" spans="8:8" x14ac:dyDescent="0.2">
      <c r="H71" s="37"/>
    </row>
    <row r="72" spans="8:8" x14ac:dyDescent="0.2">
      <c r="H72" s="37"/>
    </row>
    <row r="73" spans="8:8" x14ac:dyDescent="0.2">
      <c r="H73" s="37"/>
    </row>
    <row r="74" spans="8:8" x14ac:dyDescent="0.2">
      <c r="H74" s="37"/>
    </row>
    <row r="75" spans="8:8" x14ac:dyDescent="0.2">
      <c r="H75" s="37"/>
    </row>
    <row r="76" spans="8:8" x14ac:dyDescent="0.2">
      <c r="H76" s="37"/>
    </row>
    <row r="77" spans="8:8" x14ac:dyDescent="0.2">
      <c r="H77" s="37"/>
    </row>
    <row r="78" spans="8:8" x14ac:dyDescent="0.2">
      <c r="H78" s="37"/>
    </row>
    <row r="79" spans="8:8" x14ac:dyDescent="0.2">
      <c r="H79" s="37"/>
    </row>
    <row r="80" spans="8:8" x14ac:dyDescent="0.2">
      <c r="H80" s="37"/>
    </row>
    <row r="81" spans="8:8" x14ac:dyDescent="0.2">
      <c r="H81" s="37"/>
    </row>
    <row r="82" spans="8:8" x14ac:dyDescent="0.2">
      <c r="H82" s="37"/>
    </row>
    <row r="83" spans="8:8" x14ac:dyDescent="0.2">
      <c r="H83" s="37"/>
    </row>
    <row r="84" spans="8:8" x14ac:dyDescent="0.2">
      <c r="H84" s="37"/>
    </row>
    <row r="85" spans="8:8" x14ac:dyDescent="0.2">
      <c r="H85" s="37"/>
    </row>
    <row r="86" spans="8:8" x14ac:dyDescent="0.2">
      <c r="H86" s="37"/>
    </row>
    <row r="87" spans="8:8" x14ac:dyDescent="0.2">
      <c r="H87" s="37"/>
    </row>
    <row r="88" spans="8:8" x14ac:dyDescent="0.2">
      <c r="H88" s="37"/>
    </row>
    <row r="89" spans="8:8" x14ac:dyDescent="0.2">
      <c r="H89" s="37"/>
    </row>
    <row r="90" spans="8:8" x14ac:dyDescent="0.2">
      <c r="H90" s="37"/>
    </row>
    <row r="91" spans="8:8" x14ac:dyDescent="0.2">
      <c r="H91" s="37"/>
    </row>
    <row r="92" spans="8:8" x14ac:dyDescent="0.2">
      <c r="H92" s="37"/>
    </row>
    <row r="93" spans="8:8" x14ac:dyDescent="0.2">
      <c r="H93" s="37"/>
    </row>
    <row r="94" spans="8:8" x14ac:dyDescent="0.2">
      <c r="H94" s="37"/>
    </row>
    <row r="95" spans="8:8" x14ac:dyDescent="0.2">
      <c r="H95" s="37"/>
    </row>
    <row r="96" spans="8:8" x14ac:dyDescent="0.2">
      <c r="H96" s="37"/>
    </row>
    <row r="97" spans="8:8" x14ac:dyDescent="0.2">
      <c r="H97" s="37"/>
    </row>
    <row r="98" spans="8:8" x14ac:dyDescent="0.2">
      <c r="H98" s="37"/>
    </row>
    <row r="99" spans="8:8" x14ac:dyDescent="0.2">
      <c r="H99" s="37"/>
    </row>
    <row r="100" spans="8:8" x14ac:dyDescent="0.2">
      <c r="H100" s="37"/>
    </row>
    <row r="101" spans="8:8" x14ac:dyDescent="0.2">
      <c r="H101" s="37"/>
    </row>
    <row r="102" spans="8:8" x14ac:dyDescent="0.2">
      <c r="H102" s="37"/>
    </row>
    <row r="103" spans="8:8" x14ac:dyDescent="0.2">
      <c r="H103" s="37"/>
    </row>
    <row r="104" spans="8:8" x14ac:dyDescent="0.2">
      <c r="H104" s="37"/>
    </row>
    <row r="105" spans="8:8" x14ac:dyDescent="0.2">
      <c r="H105" s="37"/>
    </row>
    <row r="106" spans="8:8" x14ac:dyDescent="0.2">
      <c r="H106" s="37"/>
    </row>
    <row r="107" spans="8:8" x14ac:dyDescent="0.2">
      <c r="H107" s="37"/>
    </row>
    <row r="108" spans="8:8" x14ac:dyDescent="0.2">
      <c r="H108" s="37"/>
    </row>
    <row r="109" spans="8:8" x14ac:dyDescent="0.2">
      <c r="H109" s="37"/>
    </row>
    <row r="110" spans="8:8" x14ac:dyDescent="0.2">
      <c r="H110" s="37"/>
    </row>
    <row r="111" spans="8:8" x14ac:dyDescent="0.2">
      <c r="H111" s="37"/>
    </row>
    <row r="112" spans="8:8" x14ac:dyDescent="0.2">
      <c r="H112" s="37"/>
    </row>
    <row r="113" spans="8:8" x14ac:dyDescent="0.2">
      <c r="H113" s="37"/>
    </row>
    <row r="114" spans="8:8" x14ac:dyDescent="0.2">
      <c r="H114" s="37"/>
    </row>
    <row r="115" spans="8:8" x14ac:dyDescent="0.2">
      <c r="H115" s="37"/>
    </row>
    <row r="116" spans="8:8" x14ac:dyDescent="0.2">
      <c r="H116" s="37"/>
    </row>
    <row r="117" spans="8:8" x14ac:dyDescent="0.2">
      <c r="H117" s="37"/>
    </row>
    <row r="118" spans="8:8" x14ac:dyDescent="0.2">
      <c r="H118" s="37"/>
    </row>
    <row r="119" spans="8:8" x14ac:dyDescent="0.2">
      <c r="H119" s="37"/>
    </row>
    <row r="120" spans="8:8" x14ac:dyDescent="0.2">
      <c r="H120" s="37"/>
    </row>
    <row r="121" spans="8:8" x14ac:dyDescent="0.2">
      <c r="H121" s="37"/>
    </row>
    <row r="122" spans="8:8" x14ac:dyDescent="0.2">
      <c r="H122" s="37"/>
    </row>
    <row r="123" spans="8:8" x14ac:dyDescent="0.2">
      <c r="H123" s="37"/>
    </row>
    <row r="124" spans="8:8" x14ac:dyDescent="0.2">
      <c r="H124" s="37"/>
    </row>
    <row r="125" spans="8:8" x14ac:dyDescent="0.2">
      <c r="H125" s="37"/>
    </row>
    <row r="126" spans="8:8" x14ac:dyDescent="0.2">
      <c r="H126" s="37"/>
    </row>
    <row r="127" spans="8:8" x14ac:dyDescent="0.2">
      <c r="H127" s="37"/>
    </row>
    <row r="128" spans="8:8" x14ac:dyDescent="0.2">
      <c r="H128" s="37"/>
    </row>
    <row r="129" spans="8:8" x14ac:dyDescent="0.2">
      <c r="H129" s="37"/>
    </row>
    <row r="130" spans="8:8" x14ac:dyDescent="0.2">
      <c r="H130" s="37"/>
    </row>
    <row r="131" spans="8:8" x14ac:dyDescent="0.2">
      <c r="H131" s="37"/>
    </row>
    <row r="132" spans="8:8" x14ac:dyDescent="0.2">
      <c r="H132" s="37"/>
    </row>
    <row r="133" spans="8:8" x14ac:dyDescent="0.2">
      <c r="H133" s="37"/>
    </row>
    <row r="134" spans="8:8" x14ac:dyDescent="0.2">
      <c r="H134" s="37"/>
    </row>
    <row r="135" spans="8:8" x14ac:dyDescent="0.2">
      <c r="H135" s="37"/>
    </row>
    <row r="136" spans="8:8" x14ac:dyDescent="0.2">
      <c r="H136" s="37"/>
    </row>
    <row r="137" spans="8:8" x14ac:dyDescent="0.2">
      <c r="H137" s="37"/>
    </row>
    <row r="138" spans="8:8" x14ac:dyDescent="0.2">
      <c r="H138" s="37"/>
    </row>
    <row r="139" spans="8:8" x14ac:dyDescent="0.2">
      <c r="H139" s="37"/>
    </row>
    <row r="140" spans="8:8" x14ac:dyDescent="0.2">
      <c r="H140" s="37"/>
    </row>
    <row r="141" spans="8:8" x14ac:dyDescent="0.2">
      <c r="H141" s="37"/>
    </row>
    <row r="142" spans="8:8" x14ac:dyDescent="0.2">
      <c r="H142" s="37"/>
    </row>
    <row r="143" spans="8:8" x14ac:dyDescent="0.2">
      <c r="H143" s="37"/>
    </row>
    <row r="144" spans="8:8" x14ac:dyDescent="0.2">
      <c r="H144" s="37"/>
    </row>
    <row r="145" spans="8:8" x14ac:dyDescent="0.2">
      <c r="H145" s="37"/>
    </row>
    <row r="146" spans="8:8" x14ac:dyDescent="0.2">
      <c r="H146" s="37"/>
    </row>
    <row r="147" spans="8:8" x14ac:dyDescent="0.2">
      <c r="H147" s="37"/>
    </row>
    <row r="148" spans="8:8" x14ac:dyDescent="0.2">
      <c r="H148" s="37"/>
    </row>
    <row r="149" spans="8:8" x14ac:dyDescent="0.2">
      <c r="H149" s="37"/>
    </row>
    <row r="150" spans="8:8" x14ac:dyDescent="0.2">
      <c r="H150" s="37"/>
    </row>
    <row r="151" spans="8:8" x14ac:dyDescent="0.2">
      <c r="H151" s="37"/>
    </row>
    <row r="152" spans="8:8" x14ac:dyDescent="0.2">
      <c r="H152" s="37"/>
    </row>
    <row r="153" spans="8:8" x14ac:dyDescent="0.2">
      <c r="H153" s="37"/>
    </row>
    <row r="154" spans="8:8" x14ac:dyDescent="0.2">
      <c r="H154" s="37"/>
    </row>
    <row r="155" spans="8:8" x14ac:dyDescent="0.2">
      <c r="H155" s="37"/>
    </row>
    <row r="156" spans="8:8" x14ac:dyDescent="0.2">
      <c r="H156" s="37"/>
    </row>
    <row r="157" spans="8:8" x14ac:dyDescent="0.2">
      <c r="H157" s="37"/>
    </row>
    <row r="158" spans="8:8" x14ac:dyDescent="0.2">
      <c r="H158" s="37"/>
    </row>
    <row r="159" spans="8:8" x14ac:dyDescent="0.2">
      <c r="H159" s="37"/>
    </row>
    <row r="160" spans="8:8" x14ac:dyDescent="0.2">
      <c r="H160" s="37"/>
    </row>
    <row r="161" spans="8:8" x14ac:dyDescent="0.2">
      <c r="H161" s="37"/>
    </row>
    <row r="162" spans="8:8" x14ac:dyDescent="0.2">
      <c r="H162" s="37"/>
    </row>
    <row r="163" spans="8:8" x14ac:dyDescent="0.2">
      <c r="H163" s="37"/>
    </row>
    <row r="164" spans="8:8" x14ac:dyDescent="0.2">
      <c r="H164" s="37"/>
    </row>
    <row r="165" spans="8:8" x14ac:dyDescent="0.2">
      <c r="H165" s="37"/>
    </row>
    <row r="166" spans="8:8" x14ac:dyDescent="0.2">
      <c r="H166" s="37"/>
    </row>
    <row r="167" spans="8:8" x14ac:dyDescent="0.2">
      <c r="H167" s="37"/>
    </row>
    <row r="168" spans="8:8" x14ac:dyDescent="0.2">
      <c r="H168" s="37"/>
    </row>
    <row r="169" spans="8:8" x14ac:dyDescent="0.2">
      <c r="H169" s="37"/>
    </row>
    <row r="170" spans="8:8" x14ac:dyDescent="0.2">
      <c r="H170" s="37"/>
    </row>
    <row r="171" spans="8:8" x14ac:dyDescent="0.2">
      <c r="H171" s="37"/>
    </row>
    <row r="172" spans="8:8" x14ac:dyDescent="0.2">
      <c r="H172" s="37"/>
    </row>
    <row r="173" spans="8:8" x14ac:dyDescent="0.2">
      <c r="H173" s="37"/>
    </row>
    <row r="174" spans="8:8" x14ac:dyDescent="0.2">
      <c r="H174" s="37"/>
    </row>
    <row r="175" spans="8:8" x14ac:dyDescent="0.2">
      <c r="H175" s="37"/>
    </row>
    <row r="176" spans="8:8" x14ac:dyDescent="0.2">
      <c r="H176" s="37"/>
    </row>
    <row r="177" spans="8:8" x14ac:dyDescent="0.2">
      <c r="H177" s="37"/>
    </row>
    <row r="178" spans="8:8" x14ac:dyDescent="0.2">
      <c r="H178" s="37"/>
    </row>
    <row r="179" spans="8:8" x14ac:dyDescent="0.2">
      <c r="H179" s="37"/>
    </row>
    <row r="180" spans="8:8" x14ac:dyDescent="0.2">
      <c r="H180" s="37"/>
    </row>
    <row r="181" spans="8:8" x14ac:dyDescent="0.2">
      <c r="H181" s="37"/>
    </row>
    <row r="182" spans="8:8" x14ac:dyDescent="0.2">
      <c r="H182" s="37"/>
    </row>
    <row r="183" spans="8:8" x14ac:dyDescent="0.2">
      <c r="H183" s="37"/>
    </row>
    <row r="184" spans="8:8" x14ac:dyDescent="0.2">
      <c r="H184" s="37"/>
    </row>
    <row r="185" spans="8:8" x14ac:dyDescent="0.2">
      <c r="H185" s="37"/>
    </row>
    <row r="186" spans="8:8" x14ac:dyDescent="0.2">
      <c r="H186" s="37"/>
    </row>
    <row r="187" spans="8:8" x14ac:dyDescent="0.2">
      <c r="H187" s="37"/>
    </row>
    <row r="188" spans="8:8" x14ac:dyDescent="0.2">
      <c r="H188" s="37"/>
    </row>
    <row r="189" spans="8:8" x14ac:dyDescent="0.2">
      <c r="H189" s="37"/>
    </row>
    <row r="190" spans="8:8" x14ac:dyDescent="0.2">
      <c r="H190" s="37"/>
    </row>
    <row r="191" spans="8:8" x14ac:dyDescent="0.2">
      <c r="H191" s="37"/>
    </row>
    <row r="192" spans="8:8" x14ac:dyDescent="0.2">
      <c r="H192" s="37"/>
    </row>
    <row r="193" spans="8:8" x14ac:dyDescent="0.2">
      <c r="H193" s="37"/>
    </row>
    <row r="194" spans="8:8" x14ac:dyDescent="0.2">
      <c r="H194" s="37"/>
    </row>
    <row r="195" spans="8:8" x14ac:dyDescent="0.2">
      <c r="H195" s="37"/>
    </row>
    <row r="196" spans="8:8" x14ac:dyDescent="0.2">
      <c r="H196" s="37"/>
    </row>
    <row r="197" spans="8:8" x14ac:dyDescent="0.2">
      <c r="H197" s="37"/>
    </row>
    <row r="198" spans="8:8" x14ac:dyDescent="0.2">
      <c r="H198" s="37"/>
    </row>
  </sheetData>
  <sheetProtection algorithmName="SHA-512" hashValue="+2zfg8AX9TJwy/8H+/YvP2ysMhbC3SlhnvrPeSnfPRFg5909vu7kpcNP+vT5Pj0aC+frxv2GZjwFLG+i3WLjHQ==" saltValue="lSPtEECw0tP7t5OVyFV+Zg==" spinCount="100000" sheet="1" objects="1" scenarios="1" selectLockedCells="1"/>
  <dataConsolidate link="1"/>
  <mergeCells count="46">
    <mergeCell ref="D7:G7"/>
    <mergeCell ref="K12:K16"/>
    <mergeCell ref="H12:H16"/>
    <mergeCell ref="I12:I16"/>
    <mergeCell ref="J12:J16"/>
    <mergeCell ref="H7:O7"/>
    <mergeCell ref="N12:N16"/>
    <mergeCell ref="O12:O16"/>
    <mergeCell ref="L12:L16"/>
    <mergeCell ref="M12:M16"/>
    <mergeCell ref="L40:L41"/>
    <mergeCell ref="H43:H44"/>
    <mergeCell ref="I43:I44"/>
    <mergeCell ref="J43:J44"/>
    <mergeCell ref="K43:K44"/>
    <mergeCell ref="K40:K41"/>
    <mergeCell ref="H40:H41"/>
    <mergeCell ref="I40:I41"/>
    <mergeCell ref="J40:J41"/>
    <mergeCell ref="N40:N41"/>
    <mergeCell ref="O43:O44"/>
    <mergeCell ref="M20:M22"/>
    <mergeCell ref="M30:M32"/>
    <mergeCell ref="M43:M44"/>
    <mergeCell ref="N43:N44"/>
    <mergeCell ref="O20:O22"/>
    <mergeCell ref="O33:O35"/>
    <mergeCell ref="O40:O41"/>
    <mergeCell ref="H36:O36"/>
    <mergeCell ref="H37:O37"/>
    <mergeCell ref="N20:N22"/>
    <mergeCell ref="N30:N32"/>
    <mergeCell ref="N33:N35"/>
    <mergeCell ref="L43:L44"/>
    <mergeCell ref="M40:M41"/>
    <mergeCell ref="O31:O32"/>
    <mergeCell ref="K20:K22"/>
    <mergeCell ref="J20:J22"/>
    <mergeCell ref="I20:I22"/>
    <mergeCell ref="H20:H22"/>
    <mergeCell ref="H31:H32"/>
    <mergeCell ref="I31:I32"/>
    <mergeCell ref="J31:J32"/>
    <mergeCell ref="K31:K32"/>
    <mergeCell ref="L20:L22"/>
    <mergeCell ref="L30:L32"/>
  </mergeCells>
  <pageMargins left="0.7" right="0.7" top="0.75" bottom="0.75" header="0.3" footer="0.3"/>
  <pageSetup scale="51" fitToHeight="0" orientation="landscape" r:id="rId1"/>
  <colBreaks count="1" manualBreakCount="1">
    <brk id="7" min="1" max="49" man="1"/>
  </colBreaks>
  <ignoredErrors>
    <ignoredError sqref="C17 B47 C27 C49 B16 B11 B13:C13 B14 B26 C20 B21 B22:C22 B23 B24:C24 B25 B18:C18 C19 C10:G10" formula="1"/>
    <ignoredError sqref="N20 N30 N40 N43 N12" formulaRange="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K35"/>
  <sheetViews>
    <sheetView showGridLines="0" topLeftCell="A10" zoomScaleNormal="100" workbookViewId="0">
      <selection activeCell="K4" sqref="K4"/>
    </sheetView>
  </sheetViews>
  <sheetFormatPr baseColWidth="10" defaultRowHeight="15" x14ac:dyDescent="0.25"/>
  <sheetData>
    <row r="35" spans="11:11" x14ac:dyDescent="0.25">
      <c r="K35" s="628" t="s">
        <v>218</v>
      </c>
    </row>
  </sheetData>
  <sheetProtection algorithmName="SHA-512" hashValue="SZ8ztQ73hWnpK/7xMxtHHy84pSgvji80PChPpBLwU18/+ooczh3NbeaWKRH2j4F1llrpcEnQN2C1xPzuvdJzIw==" saltValue="Ox6X15Sr+Bq71a2UyD8w0A==" spinCount="100000" sheet="1" objects="1" scenarios="1" selectLockedCells="1"/>
  <hyperlinks>
    <hyperlink ref="K35" r:id="rId1" xr:uid="{00000000-0004-0000-00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92D050"/>
    <pageSetUpPr fitToPage="1"/>
  </sheetPr>
  <dimension ref="A1:K559"/>
  <sheetViews>
    <sheetView showGridLines="0" view="pageBreakPreview" zoomScale="80" zoomScaleNormal="90" zoomScaleSheetLayoutView="80" workbookViewId="0">
      <pane xSplit="2" ySplit="7" topLeftCell="C8" activePane="bottomRight" state="frozen"/>
      <selection activeCell="C18" sqref="C18"/>
      <selection pane="topRight" activeCell="C18" sqref="C18"/>
      <selection pane="bottomLeft" activeCell="C18" sqref="C18"/>
      <selection pane="bottomRight" activeCell="A50" sqref="A50"/>
    </sheetView>
  </sheetViews>
  <sheetFormatPr baseColWidth="10" defaultColWidth="9.140625" defaultRowHeight="15" x14ac:dyDescent="0.25"/>
  <cols>
    <col min="1" max="1" width="43.140625" bestFit="1" customWidth="1"/>
    <col min="2" max="2" width="59.140625" bestFit="1" customWidth="1"/>
    <col min="3" max="3" width="20.85546875" bestFit="1" customWidth="1"/>
    <col min="4" max="4" width="19" bestFit="1" customWidth="1"/>
    <col min="5" max="5" width="21" bestFit="1" customWidth="1"/>
    <col min="6" max="6" width="21" customWidth="1"/>
    <col min="7" max="7" width="19.5703125" customWidth="1"/>
    <col min="8" max="8" width="19.7109375" bestFit="1" customWidth="1"/>
    <col min="9" max="9" width="14.140625" customWidth="1"/>
    <col min="10" max="10" width="10.85546875" customWidth="1"/>
    <col min="11" max="11" width="11.7109375" customWidth="1"/>
  </cols>
  <sheetData>
    <row r="1" spans="1:11" s="156" customFormat="1" ht="16.5" thickBot="1" x14ac:dyDescent="0.3">
      <c r="A1" s="427" t="s">
        <v>59</v>
      </c>
      <c r="B1" s="36"/>
      <c r="E1" s="179"/>
      <c r="F1" s="179"/>
    </row>
    <row r="2" spans="1:11" ht="15.75" thickBot="1" x14ac:dyDescent="0.3">
      <c r="A2" s="35"/>
      <c r="B2" s="35"/>
      <c r="E2" s="16"/>
      <c r="F2" s="16"/>
    </row>
    <row r="3" spans="1:11" ht="18.75" thickBot="1" x14ac:dyDescent="0.3">
      <c r="A3" s="91" t="str">
        <f>Paramètres!B4</f>
        <v>Tarif</v>
      </c>
      <c r="B3" s="92">
        <v>2021</v>
      </c>
      <c r="C3" s="243"/>
      <c r="D3" s="245"/>
      <c r="E3" s="244"/>
      <c r="F3" s="244"/>
      <c r="G3" s="245"/>
      <c r="H3" s="245"/>
      <c r="I3" s="245"/>
      <c r="J3" s="245"/>
      <c r="K3" s="245"/>
    </row>
    <row r="4" spans="1:11" ht="18.75" thickBot="1" x14ac:dyDescent="0.3">
      <c r="A4" s="91" t="str">
        <f>Paramètres!B5</f>
        <v>Scénario</v>
      </c>
      <c r="B4" s="242" t="s">
        <v>216</v>
      </c>
      <c r="C4" s="245"/>
      <c r="E4" s="16"/>
      <c r="F4" s="16"/>
    </row>
    <row r="5" spans="1:11" ht="18.75" thickBot="1" x14ac:dyDescent="0.3">
      <c r="A5" s="91" t="str">
        <f>Paramètres!B6</f>
        <v>Année de référence</v>
      </c>
      <c r="B5" s="92">
        <v>2020</v>
      </c>
      <c r="C5" s="155"/>
      <c r="D5" s="334"/>
      <c r="E5" s="334"/>
      <c r="F5" s="334"/>
      <c r="G5" s="334"/>
      <c r="H5" s="334"/>
      <c r="I5" s="156"/>
      <c r="J5" s="156"/>
      <c r="K5" s="156"/>
    </row>
    <row r="6" spans="1:11" ht="15.75" customHeight="1" x14ac:dyDescent="0.25">
      <c r="A6" s="102"/>
      <c r="B6" s="102"/>
      <c r="C6" s="656" t="s">
        <v>96</v>
      </c>
      <c r="D6" s="657"/>
      <c r="E6" s="657"/>
      <c r="F6" s="657"/>
      <c r="G6" s="657"/>
      <c r="H6" s="658"/>
      <c r="I6" s="172" t="s">
        <v>78</v>
      </c>
      <c r="J6" s="656" t="s">
        <v>79</v>
      </c>
      <c r="K6" s="658"/>
    </row>
    <row r="7" spans="1:11" ht="45" x14ac:dyDescent="0.25">
      <c r="A7" s="42" t="s">
        <v>191</v>
      </c>
      <c r="B7" s="9" t="s">
        <v>123</v>
      </c>
      <c r="C7" s="182" t="s">
        <v>174</v>
      </c>
      <c r="D7" s="166" t="s">
        <v>166</v>
      </c>
      <c r="E7" s="166" t="s">
        <v>167</v>
      </c>
      <c r="F7" s="278" t="s">
        <v>168</v>
      </c>
      <c r="G7" s="166" t="s">
        <v>175</v>
      </c>
      <c r="H7" s="260" t="s">
        <v>176</v>
      </c>
      <c r="I7" s="166" t="s">
        <v>237</v>
      </c>
      <c r="J7" s="182" t="s">
        <v>217</v>
      </c>
      <c r="K7" s="260" t="s">
        <v>151</v>
      </c>
    </row>
    <row r="8" spans="1:11" x14ac:dyDescent="0.25">
      <c r="A8" s="43" t="s">
        <v>27</v>
      </c>
      <c r="B8" s="11"/>
      <c r="C8" s="159"/>
      <c r="D8" s="139"/>
      <c r="E8" s="139"/>
      <c r="F8" s="139"/>
      <c r="G8" s="139"/>
      <c r="H8" s="140"/>
      <c r="I8" s="139"/>
      <c r="J8" s="159"/>
      <c r="K8" s="140"/>
    </row>
    <row r="9" spans="1:11" x14ac:dyDescent="0.25">
      <c r="A9" s="63"/>
      <c r="B9" s="37" t="str">
        <f>INDEX(ListeMatières,1)</f>
        <v>Encarts et circulaires imprimés sur du papier journal</v>
      </c>
      <c r="C9" s="273">
        <f>INDEX(tblMatières[Quantité déclarée (tonnes)],MATCH($B9,tblMatières[Matière],0))</f>
        <v>65368.142999999996</v>
      </c>
      <c r="D9" s="173">
        <f>INDEX(tblMatières[Quantité générée (tonnes)],MATCH($B9,tblMatières[Matière],0))</f>
        <v>65368.142999999996</v>
      </c>
      <c r="E9" s="173">
        <f>INDEX(tblMatières[Quantité récupérée (tonnes)],MATCH($B9,tblMatières[Matière],0))</f>
        <v>55656.984739085055</v>
      </c>
      <c r="F9" s="173">
        <f>D9-E9</f>
        <v>9711.1582609149409</v>
      </c>
      <c r="G9" s="154">
        <f>INDEX(tblMatières[% récupération],MATCH($B9,tblMatières[Matière],0))</f>
        <v>0.85143897600219509</v>
      </c>
      <c r="H9" s="335">
        <f>INDEX(tblMatières[Coût net ACA],MATCH($B9,tblMatières[Matière],0))</f>
        <v>143.44813883057876</v>
      </c>
      <c r="I9" s="340">
        <f t="shared" ref="I9:I14" si="0">INDEX(rgTarif_TxFinal,MATCH($B9,rgTarif_Matières,0))</f>
        <v>398.59</v>
      </c>
      <c r="J9" s="103">
        <v>292.25</v>
      </c>
      <c r="K9" s="384">
        <f t="shared" ref="K9:K15" si="1">IF(J9&gt;0,I9/J9-1,0)</f>
        <v>0.36386655260906742</v>
      </c>
    </row>
    <row r="10" spans="1:11" x14ac:dyDescent="0.25">
      <c r="A10" s="38"/>
      <c r="B10" s="37" t="str">
        <f>INDEX(ListeMatières,2)</f>
        <v>Catalogues et publications</v>
      </c>
      <c r="C10" s="160">
        <f>INDEX(tblMatières[Quantité déclarée (tonnes)],MATCH($B10,tblMatières[Matière],0))</f>
        <v>5387.2479999999996</v>
      </c>
      <c r="D10" s="173">
        <f>INDEX(tblMatières[Quantité générée (tonnes)],MATCH($B10,tblMatières[Matière],0))</f>
        <v>5387.2479999999996</v>
      </c>
      <c r="E10" s="173">
        <f>INDEX(tblMatières[Quantité récupérée (tonnes)],MATCH($B10,tblMatières[Matière],0))</f>
        <v>4441.1866763444323</v>
      </c>
      <c r="F10" s="173">
        <f t="shared" ref="F10:F15" si="2">D10-E10</f>
        <v>946.06132365556732</v>
      </c>
      <c r="G10" s="154">
        <f>INDEX(tblMatières[% récupération],MATCH($B10,tblMatières[Matière],0))</f>
        <v>0.82438875588137628</v>
      </c>
      <c r="H10" s="335">
        <f>INDEX(tblMatières[Coût net ACA],MATCH($B10,tblMatières[Matière],0))</f>
        <v>144.6965698786868</v>
      </c>
      <c r="I10" s="340">
        <f t="shared" si="0"/>
        <v>591.53</v>
      </c>
      <c r="J10" s="103">
        <v>425.74</v>
      </c>
      <c r="K10" s="384">
        <f t="shared" si="1"/>
        <v>0.38941607553906121</v>
      </c>
    </row>
    <row r="11" spans="1:11" x14ac:dyDescent="0.25">
      <c r="A11" s="38"/>
      <c r="B11" s="37" t="str">
        <f>INDEX(ListeMatières,3)</f>
        <v>Magazines</v>
      </c>
      <c r="C11" s="160">
        <f>INDEX(tblMatières[Quantité déclarée (tonnes)],MATCH($B11,tblMatières[Matière],0))</f>
        <v>3004.6579999999999</v>
      </c>
      <c r="D11" s="173">
        <f>INDEX(tblMatières[Quantité générée (tonnes)],MATCH($B11,tblMatières[Matière],0))</f>
        <v>3004.6579999999999</v>
      </c>
      <c r="E11" s="173">
        <f>INDEX(tblMatières[Quantité récupérée (tonnes)],MATCH($B11,tblMatières[Matière],0))</f>
        <v>2573.084473947371</v>
      </c>
      <c r="F11" s="173">
        <f t="shared" si="2"/>
        <v>431.57352605262895</v>
      </c>
      <c r="G11" s="154">
        <f>INDEX(tblMatières[% récupération],MATCH($B11,tblMatières[Matière],0))</f>
        <v>0.85636517498742648</v>
      </c>
      <c r="H11" s="335">
        <f>INDEX(tblMatières[Coût net ACA],MATCH($B11,tblMatières[Matière],0))</f>
        <v>139.455993113256</v>
      </c>
      <c r="I11" s="340">
        <f t="shared" si="0"/>
        <v>591.53</v>
      </c>
      <c r="J11" s="103">
        <v>425.74</v>
      </c>
      <c r="K11" s="384">
        <f t="shared" si="1"/>
        <v>0.38941607553906121</v>
      </c>
    </row>
    <row r="12" spans="1:11" x14ac:dyDescent="0.25">
      <c r="A12" s="38"/>
      <c r="B12" s="37" t="str">
        <f>INDEX(ListeMatières,4)</f>
        <v>Annuaires téléphoniques</v>
      </c>
      <c r="C12" s="160">
        <f>INDEX(tblMatières[Quantité déclarée (tonnes)],MATCH($B12,tblMatières[Matière],0))</f>
        <v>320.28500000000003</v>
      </c>
      <c r="D12" s="173">
        <f>INDEX(tblMatières[Quantité générée (tonnes)],MATCH($B12,tblMatières[Matière],0))</f>
        <v>320.28500000000003</v>
      </c>
      <c r="E12" s="173">
        <f>INDEX(tblMatières[Quantité récupérée (tonnes)],MATCH($B12,tblMatières[Matière],0))</f>
        <v>261.22380655183559</v>
      </c>
      <c r="F12" s="173">
        <f t="shared" si="2"/>
        <v>59.061193448164431</v>
      </c>
      <c r="G12" s="154">
        <f>INDEX(tblMatières[% récupération],MATCH($B12,tblMatières[Matière],0))</f>
        <v>0.81559800350261658</v>
      </c>
      <c r="H12" s="335">
        <f>INDEX(tblMatières[Coût net ACA],MATCH($B12,tblMatières[Matière],0))</f>
        <v>144.72652379883453</v>
      </c>
      <c r="I12" s="340">
        <f t="shared" si="0"/>
        <v>591.53</v>
      </c>
      <c r="J12" s="103">
        <v>425.74</v>
      </c>
      <c r="K12" s="384">
        <f t="shared" si="1"/>
        <v>0.38941607553906121</v>
      </c>
    </row>
    <row r="13" spans="1:11" x14ac:dyDescent="0.25">
      <c r="A13" s="38"/>
      <c r="B13" s="37" t="str">
        <f>INDEX(ListeMatières,5)</f>
        <v>Papier à usage général</v>
      </c>
      <c r="C13" s="160">
        <f>INDEX(tblMatières[Quantité déclarée (tonnes)],MATCH($B13,tblMatières[Matière],0))</f>
        <v>5107.7979999999998</v>
      </c>
      <c r="D13" s="173">
        <f>INDEX(tblMatières[Quantité générée (tonnes)],MATCH($B13,tblMatières[Matière],0))</f>
        <v>5107.7979999999998</v>
      </c>
      <c r="E13" s="173">
        <f>INDEX(tblMatières[Quantité récupérée (tonnes)],MATCH($B13,tblMatières[Matière],0))</f>
        <v>2901.4502265425795</v>
      </c>
      <c r="F13" s="173">
        <f t="shared" si="2"/>
        <v>2206.3477734574203</v>
      </c>
      <c r="G13" s="154">
        <f>INDEX(tblMatières[% récupération],MATCH($B13,tblMatières[Matière],0))</f>
        <v>0.56804325984359205</v>
      </c>
      <c r="H13" s="335">
        <f>INDEX(tblMatières[Coût net ACA],MATCH($B13,tblMatières[Matière],0))</f>
        <v>148.04485421155144</v>
      </c>
      <c r="I13" s="340">
        <f t="shared" si="0"/>
        <v>591.53</v>
      </c>
      <c r="J13" s="103">
        <v>425.74</v>
      </c>
      <c r="K13" s="384">
        <f t="shared" si="1"/>
        <v>0.38941607553906121</v>
      </c>
    </row>
    <row r="14" spans="1:11" x14ac:dyDescent="0.25">
      <c r="A14" s="38"/>
      <c r="B14" s="37" t="str">
        <f>INDEX(ListeMatières,6)</f>
        <v>Autres imprimés</v>
      </c>
      <c r="C14" s="160">
        <f>INDEX(tblMatières[Quantité déclarée (tonnes)],MATCH($B14,tblMatières[Matière],0))</f>
        <v>18948.096000000001</v>
      </c>
      <c r="D14" s="173">
        <f>INDEX(tblMatières[Quantité générée (tonnes)],MATCH($B14,tblMatières[Matière],0))</f>
        <v>18948.096000000001</v>
      </c>
      <c r="E14" s="173">
        <f>INDEX(tblMatières[Quantité récupérée (tonnes)],MATCH($B14,tblMatières[Matière],0))</f>
        <v>11814.415994167999</v>
      </c>
      <c r="F14" s="173">
        <f t="shared" si="2"/>
        <v>7133.6800058320023</v>
      </c>
      <c r="G14" s="154">
        <f>INDEX(tblMatières[% récupération],MATCH($B14,tblMatières[Matière],0))</f>
        <v>0.62351467895075041</v>
      </c>
      <c r="H14" s="335">
        <f>INDEX(tblMatières[Coût net ACA],MATCH($B14,tblMatières[Matière],0))</f>
        <v>143.29391174143328</v>
      </c>
      <c r="I14" s="340">
        <f t="shared" si="0"/>
        <v>591.53</v>
      </c>
      <c r="J14" s="103">
        <v>425.74</v>
      </c>
      <c r="K14" s="384">
        <f t="shared" si="1"/>
        <v>0.38941607553906121</v>
      </c>
    </row>
    <row r="15" spans="1:11" ht="15.75" thickBot="1" x14ac:dyDescent="0.3">
      <c r="A15" s="55" t="s">
        <v>29</v>
      </c>
      <c r="B15" s="20"/>
      <c r="C15" s="161">
        <f>SUBTOTAL(9,C9:C14)</f>
        <v>98136.228000000003</v>
      </c>
      <c r="D15" s="174">
        <f t="shared" ref="D15:E15" si="3">SUBTOTAL(9,D9:D14)</f>
        <v>98136.228000000003</v>
      </c>
      <c r="E15" s="174">
        <f t="shared" si="3"/>
        <v>77648.345916639271</v>
      </c>
      <c r="F15" s="174">
        <f t="shared" si="2"/>
        <v>20487.882083360731</v>
      </c>
      <c r="G15" s="157">
        <f>E15/D15</f>
        <v>0.79123018582535365</v>
      </c>
      <c r="H15" s="336"/>
      <c r="I15" s="341">
        <f>INDEX(rgTarif_TxFinal,MATCH($A15,Tarif!$B$11:$B$52,0))</f>
        <v>463.01344941054793</v>
      </c>
      <c r="J15" s="105">
        <v>335.24</v>
      </c>
      <c r="K15" s="385">
        <f t="shared" si="1"/>
        <v>0.38114022613813359</v>
      </c>
    </row>
    <row r="16" spans="1:11" x14ac:dyDescent="0.25">
      <c r="A16" s="38"/>
      <c r="B16" s="35"/>
      <c r="C16" s="162"/>
      <c r="D16" s="175"/>
      <c r="E16" s="175"/>
      <c r="F16" s="175"/>
      <c r="G16" s="152"/>
      <c r="H16" s="337"/>
      <c r="I16" s="114"/>
      <c r="J16" s="113"/>
      <c r="K16" s="386"/>
    </row>
    <row r="17" spans="1:11" x14ac:dyDescent="0.25">
      <c r="A17" s="43" t="s">
        <v>28</v>
      </c>
      <c r="B17" s="11"/>
      <c r="C17" s="163"/>
      <c r="D17" s="176"/>
      <c r="E17" s="176"/>
      <c r="F17" s="176"/>
      <c r="G17" s="153"/>
      <c r="H17" s="338"/>
      <c r="I17" s="139"/>
      <c r="J17" s="159"/>
      <c r="K17" s="387"/>
    </row>
    <row r="18" spans="1:11" x14ac:dyDescent="0.25">
      <c r="A18" s="46" t="s">
        <v>192</v>
      </c>
      <c r="B18" s="37" t="str">
        <f>INDEX(ListeMatières,7)</f>
        <v>Carton ondulé</v>
      </c>
      <c r="C18" s="160">
        <f>INDEX(tblMatières[Quantité déclarée (tonnes)],MATCH($B18,tblMatières[Matière],0))</f>
        <v>58408.389000000003</v>
      </c>
      <c r="D18" s="173">
        <f>INDEX(tblMatières[Quantité générée (tonnes)],MATCH($B18,tblMatières[Matière],0))</f>
        <v>58408.389000000003</v>
      </c>
      <c r="E18" s="173">
        <f>INDEX(tblMatières[Quantité récupérée (tonnes)],MATCH($B18,tblMatières[Matière],0))</f>
        <v>45258.102855473473</v>
      </c>
      <c r="F18" s="173">
        <f t="shared" ref="F18:F48" si="4">D18-E18</f>
        <v>13150.28614452653</v>
      </c>
      <c r="G18" s="154">
        <f>INDEX(tblMatières[% récupération],MATCH($B18,tblMatières[Matière],0))</f>
        <v>0.77485620867703564</v>
      </c>
      <c r="H18" s="335">
        <f>INDEX(tblMatières[Coût net ACA],MATCH($B18,tblMatières[Matière],0))</f>
        <v>192.03274885770679</v>
      </c>
      <c r="I18" s="340">
        <f t="shared" ref="I18:I24" si="5">INDEX(rgTarif_TxFinal,MATCH($B18,rgTarif_Matières,0))</f>
        <v>245.26</v>
      </c>
      <c r="J18" s="103">
        <v>218.03</v>
      </c>
      <c r="K18" s="384">
        <f t="shared" ref="K18:K48" si="6">IF(J18&gt;0,I18/J18-1,0)</f>
        <v>0.12489107003623356</v>
      </c>
    </row>
    <row r="19" spans="1:11" x14ac:dyDescent="0.25">
      <c r="A19" s="46"/>
      <c r="B19" s="37" t="str">
        <f>INDEX(ListeMatières,8)</f>
        <v>Sacs de papier kraft</v>
      </c>
      <c r="C19" s="160">
        <f>INDEX(tblMatières[Quantité déclarée (tonnes)],MATCH($B19,tblMatières[Matière],0))</f>
        <v>3906.12</v>
      </c>
      <c r="D19" s="173">
        <f>INDEX(tblMatières[Quantité générée (tonnes)],MATCH($B19,tblMatières[Matière],0))</f>
        <v>3906.12</v>
      </c>
      <c r="E19" s="173">
        <f>INDEX(tblMatières[Quantité récupérée (tonnes)],MATCH($B19,tblMatières[Matière],0))</f>
        <v>1611.354102772769</v>
      </c>
      <c r="F19" s="173">
        <f t="shared" si="4"/>
        <v>2294.7658972272311</v>
      </c>
      <c r="G19" s="154">
        <f>INDEX(tblMatières[% récupération],MATCH($B19,tblMatières[Matière],0))</f>
        <v>0.41252037898804161</v>
      </c>
      <c r="H19" s="335">
        <f>INDEX(tblMatières[Coût net ACA],MATCH($B19,tblMatières[Matière],0))</f>
        <v>192.03274885770679</v>
      </c>
      <c r="I19" s="340">
        <f t="shared" si="5"/>
        <v>245.26</v>
      </c>
      <c r="J19" s="103">
        <v>218.03</v>
      </c>
      <c r="K19" s="384">
        <f t="shared" si="6"/>
        <v>0.12489107003623356</v>
      </c>
    </row>
    <row r="20" spans="1:11" x14ac:dyDescent="0.25">
      <c r="A20" s="46"/>
      <c r="B20" s="37" t="str">
        <f>INDEX(ListeMatières,9)</f>
        <v>Emballages de papier kraft</v>
      </c>
      <c r="C20" s="160">
        <f>INDEX(tblMatières[Quantité déclarée (tonnes)],MATCH($B20,tblMatières[Matière],0))</f>
        <v>2207.5160000000001</v>
      </c>
      <c r="D20" s="173">
        <f>INDEX(tblMatières[Quantité générée (tonnes)],MATCH($B20,tblMatières[Matière],0))</f>
        <v>2207.5160000000001</v>
      </c>
      <c r="E20" s="173">
        <f>INDEX(tblMatières[Quantité récupérée (tonnes)],MATCH($B20,tblMatières[Matière],0))</f>
        <v>511.60760801223461</v>
      </c>
      <c r="F20" s="173">
        <f t="shared" si="4"/>
        <v>1695.9083919877655</v>
      </c>
      <c r="G20" s="154">
        <f>INDEX(tblMatières[% récupération],MATCH($B20,tblMatières[Matière],0))</f>
        <v>0.23175714604661285</v>
      </c>
      <c r="H20" s="335">
        <f>INDEX(tblMatières[Coût net ACA],MATCH($B20,tblMatières[Matière],0))</f>
        <v>192.03274885770679</v>
      </c>
      <c r="I20" s="340">
        <f t="shared" si="5"/>
        <v>245.26</v>
      </c>
      <c r="J20" s="103">
        <v>218.03</v>
      </c>
      <c r="K20" s="384">
        <f t="shared" si="6"/>
        <v>0.12489107003623356</v>
      </c>
    </row>
    <row r="21" spans="1:11" x14ac:dyDescent="0.25">
      <c r="A21" s="46"/>
      <c r="B21" s="37" t="str">
        <f>INDEX(ListeMatières,10)</f>
        <v>Carton plat et autres emballages de papier</v>
      </c>
      <c r="C21" s="160">
        <f>INDEX(tblMatières[Quantité déclarée (tonnes)],MATCH($B21,tblMatières[Matière],0))</f>
        <v>92654.394</v>
      </c>
      <c r="D21" s="173">
        <f>INDEX(tblMatières[Quantité générée (tonnes)],MATCH($B21,tblMatières[Matière],0))</f>
        <v>92654.394</v>
      </c>
      <c r="E21" s="173">
        <f>INDEX(tblMatières[Quantité récupérée (tonnes)],MATCH($B21,tblMatières[Matière],0))</f>
        <v>57330.131093507713</v>
      </c>
      <c r="F21" s="173">
        <f t="shared" si="4"/>
        <v>35324.262906492288</v>
      </c>
      <c r="G21" s="154">
        <f>INDEX(tblMatières[% récupération],MATCH($B21,tblMatières[Matière],0))</f>
        <v>0.61875242628544647</v>
      </c>
      <c r="H21" s="335">
        <f>INDEX(tblMatières[Coût net ACA],MATCH($B21,tblMatières[Matière],0))</f>
        <v>187.12809005878682</v>
      </c>
      <c r="I21" s="340">
        <f t="shared" si="5"/>
        <v>269.44942169889833</v>
      </c>
      <c r="J21" s="103">
        <v>238.92</v>
      </c>
      <c r="K21" s="384">
        <f t="shared" si="6"/>
        <v>0.127780937966258</v>
      </c>
    </row>
    <row r="22" spans="1:11" x14ac:dyDescent="0.25">
      <c r="A22" s="46"/>
      <c r="B22" s="37" t="str">
        <f>INDEX(ListeMatières,11)</f>
        <v>Contenants à pignon</v>
      </c>
      <c r="C22" s="160">
        <f>INDEX(tblMatières[Quantité déclarée (tonnes)],MATCH($B22,tblMatières[Matière],0))</f>
        <v>9680.7970000000005</v>
      </c>
      <c r="D22" s="173">
        <f>INDEX(tblMatières[Quantité générée (tonnes)],MATCH($B22,tblMatières[Matière],0))</f>
        <v>9680.7970000000005</v>
      </c>
      <c r="E22" s="173">
        <f>INDEX(tblMatières[Quantité récupérée (tonnes)],MATCH($B22,tblMatières[Matière],0))</f>
        <v>7539.7734574724036</v>
      </c>
      <c r="F22" s="173">
        <f t="shared" si="4"/>
        <v>2141.0235425275969</v>
      </c>
      <c r="G22" s="154">
        <f>INDEX(tblMatières[% récupération],MATCH($B22,tblMatières[Matière],0))</f>
        <v>0.77883809127207226</v>
      </c>
      <c r="H22" s="335">
        <f>INDEX(tblMatières[Coût net ACA],MATCH($B22,tblMatières[Matière],0))</f>
        <v>216.74199596808603</v>
      </c>
      <c r="I22" s="340">
        <f t="shared" si="5"/>
        <v>254.16320699725932</v>
      </c>
      <c r="J22" s="103">
        <v>225.57</v>
      </c>
      <c r="K22" s="384">
        <f t="shared" si="6"/>
        <v>0.1267597951733801</v>
      </c>
    </row>
    <row r="23" spans="1:11" x14ac:dyDescent="0.25">
      <c r="A23" s="46"/>
      <c r="B23" s="37" t="str">
        <f>INDEX(ListeMatières,12)</f>
        <v>Laminés de papier</v>
      </c>
      <c r="C23" s="160">
        <f>INDEX(tblMatières[Quantité déclarée (tonnes)],MATCH($B23,tblMatières[Matière],0))</f>
        <v>13115.505999999999</v>
      </c>
      <c r="D23" s="173">
        <f>INDEX(tblMatières[Quantité générée (tonnes)],MATCH($B23,tblMatières[Matière],0))</f>
        <v>13115.505999999999</v>
      </c>
      <c r="E23" s="173">
        <f>INDEX(tblMatières[Quantité récupérée (tonnes)],MATCH($B23,tblMatières[Matière],0))</f>
        <v>4385.0394479041151</v>
      </c>
      <c r="F23" s="173">
        <f t="shared" si="4"/>
        <v>8730.4665520958843</v>
      </c>
      <c r="G23" s="154">
        <f>INDEX(tblMatières[% récupération],MATCH($B23,tblMatières[Matière],0))</f>
        <v>0.33434008934951615</v>
      </c>
      <c r="H23" s="335">
        <f>INDEX(tblMatières[Coût net ACA],MATCH($B23,tblMatières[Matière],0))</f>
        <v>263.88279369951476</v>
      </c>
      <c r="I23" s="340">
        <f t="shared" si="5"/>
        <v>386.32822863415845</v>
      </c>
      <c r="J23" s="103">
        <v>341.22</v>
      </c>
      <c r="K23" s="384">
        <f t="shared" si="6"/>
        <v>0.13219690708094012</v>
      </c>
    </row>
    <row r="24" spans="1:11" x14ac:dyDescent="0.25">
      <c r="A24" s="46"/>
      <c r="B24" s="37" t="str">
        <f>INDEX(ListeMatières,13)</f>
        <v>Contenants aseptiques</v>
      </c>
      <c r="C24" s="160">
        <f>INDEX(tblMatières[Quantité déclarée (tonnes)],MATCH($B24,tblMatières[Matière],0))</f>
        <v>5539.04</v>
      </c>
      <c r="D24" s="173">
        <f>INDEX(tblMatières[Quantité générée (tonnes)],MATCH($B24,tblMatières[Matière],0))</f>
        <v>5539.04</v>
      </c>
      <c r="E24" s="173">
        <f>INDEX(tblMatières[Quantité récupérée (tonnes)],MATCH($B24,tblMatières[Matière],0))</f>
        <v>3043.685539740221</v>
      </c>
      <c r="F24" s="173">
        <f t="shared" si="4"/>
        <v>2495.354460259779</v>
      </c>
      <c r="G24" s="154">
        <f>INDEX(tblMatières[% récupération],MATCH($B24,tblMatières[Matière],0))</f>
        <v>0.54949694166141083</v>
      </c>
      <c r="H24" s="335">
        <f>INDEX(tblMatières[Coût net ACA],MATCH($B24,tblMatières[Matière],0))</f>
        <v>227.77303190118616</v>
      </c>
      <c r="I24" s="340">
        <f t="shared" si="5"/>
        <v>314.93617435320243</v>
      </c>
      <c r="J24" s="103">
        <v>278.8</v>
      </c>
      <c r="K24" s="384">
        <f t="shared" si="6"/>
        <v>0.12961325090818665</v>
      </c>
    </row>
    <row r="25" spans="1:11" x14ac:dyDescent="0.25">
      <c r="A25" s="43" t="s">
        <v>193</v>
      </c>
      <c r="B25" s="10"/>
      <c r="C25" s="164">
        <f>SUBTOTAL(9,C18:C24)</f>
        <v>185511.76199999999</v>
      </c>
      <c r="D25" s="177">
        <f t="shared" ref="D25:E25" si="7">SUBTOTAL(9,D18:D24)</f>
        <v>185511.76199999999</v>
      </c>
      <c r="E25" s="177">
        <f t="shared" si="7"/>
        <v>119679.69410488293</v>
      </c>
      <c r="F25" s="177">
        <f t="shared" si="4"/>
        <v>65832.067895117056</v>
      </c>
      <c r="G25" s="158">
        <f>E25/D25</f>
        <v>0.64513264719507613</v>
      </c>
      <c r="H25" s="339"/>
      <c r="I25" s="342">
        <f>INDEX(rgTarif_TxFinal,MATCH($A25,Tarif!$B$11:$B$52,0))</f>
        <v>269.85987773800218</v>
      </c>
      <c r="J25" s="109">
        <v>239.38</v>
      </c>
      <c r="K25" s="388">
        <f t="shared" si="6"/>
        <v>0.12732842233270203</v>
      </c>
    </row>
    <row r="26" spans="1:11" x14ac:dyDescent="0.25">
      <c r="A26" s="46" t="s">
        <v>22</v>
      </c>
      <c r="B26" s="37" t="str">
        <f>INDEX(ListeMatières,14)</f>
        <v>Bouteilles PET</v>
      </c>
      <c r="C26" s="160">
        <f>INDEX(tblMatières[Quantité déclarée (tonnes)],MATCH($B26,tblMatières[Matière],0))</f>
        <v>31023.692999999999</v>
      </c>
      <c r="D26" s="173">
        <f>INDEX(tblMatières[Quantité générée (tonnes)],MATCH($B26,tblMatières[Matière],0))</f>
        <v>31023.692999999999</v>
      </c>
      <c r="E26" s="173">
        <f>INDEX(tblMatières[Quantité récupérée (tonnes)],MATCH($B26,tblMatières[Matière],0))</f>
        <v>21038.603224586255</v>
      </c>
      <c r="F26" s="173">
        <f t="shared" si="4"/>
        <v>9985.0897754137441</v>
      </c>
      <c r="G26" s="154">
        <f>INDEX(tblMatières[% récupération],MATCH($B26,tblMatières[Matière],0))</f>
        <v>0.67814631947867254</v>
      </c>
      <c r="H26" s="335">
        <f>INDEX(tblMatières[Coût net ACA],MATCH($B26,tblMatières[Matière],0))</f>
        <v>242.41591106519147</v>
      </c>
      <c r="I26" s="340">
        <f t="shared" ref="I26:I36" si="8">INDEX(rgTarif_TxFinal,MATCH($B26,rgTarif_Matières,0))</f>
        <v>340.65</v>
      </c>
      <c r="J26" s="103">
        <v>300.39999999999998</v>
      </c>
      <c r="K26" s="384">
        <f t="shared" ref="K26:K37" si="9">IF(J26&gt;0,I26/J26-1,0)</f>
        <v>0.13398801597869503</v>
      </c>
    </row>
    <row r="27" spans="1:11" x14ac:dyDescent="0.25">
      <c r="A27" s="38"/>
      <c r="B27" s="37" t="str">
        <f>INDEX(ListeMatières,15)</f>
        <v>Bouteilles, tous formats, et contenants &lt; 5l. HDPE</v>
      </c>
      <c r="C27" s="160">
        <f>INDEX(tblMatières[Quantité déclarée (tonnes)],MATCH($B27,tblMatières[Matière],0))</f>
        <v>20311.441999999999</v>
      </c>
      <c r="D27" s="173">
        <f>INDEX(tblMatières[Quantité générée (tonnes)],MATCH($B27,tblMatières[Matière],0))</f>
        <v>20311.441999999999</v>
      </c>
      <c r="E27" s="173">
        <f>INDEX(tblMatières[Quantité récupérée (tonnes)],MATCH($B27,tblMatières[Matière],0))</f>
        <v>13818.283875375495</v>
      </c>
      <c r="F27" s="173">
        <f t="shared" si="4"/>
        <v>6493.1581246245041</v>
      </c>
      <c r="G27" s="154">
        <f>INDEX(tblMatières[% récupération],MATCH($B27,tblMatières[Matière],0))</f>
        <v>0.68032017989542526</v>
      </c>
      <c r="H27" s="335">
        <f>INDEX(tblMatières[Coût net ACA],MATCH($B27,tblMatières[Matière],0))</f>
        <v>80.351532512781716</v>
      </c>
      <c r="I27" s="340">
        <f t="shared" si="8"/>
        <v>185.78585662022243</v>
      </c>
      <c r="J27" s="103">
        <v>162.66</v>
      </c>
      <c r="K27" s="384">
        <f t="shared" si="9"/>
        <v>0.14217297811522456</v>
      </c>
    </row>
    <row r="28" spans="1:11" x14ac:dyDescent="0.25">
      <c r="A28" s="38"/>
      <c r="B28" s="37" t="str">
        <f>INDEX(ListeMatières,16)</f>
        <v>Plastiques stratifiés</v>
      </c>
      <c r="C28" s="160">
        <f>INDEX(tblMatières[Quantité déclarée (tonnes)],MATCH($B28,tblMatières[Matière],0))</f>
        <v>15885.589</v>
      </c>
      <c r="D28" s="173">
        <f>INDEX(tblMatières[Quantité générée (tonnes)],MATCH($B28,tblMatières[Matière],0))</f>
        <v>15885.589</v>
      </c>
      <c r="E28" s="173">
        <f>INDEX(tblMatières[Quantité récupérée (tonnes)],MATCH($B28,tblMatières[Matière],0))</f>
        <v>2566.4755872332394</v>
      </c>
      <c r="F28" s="173">
        <f t="shared" si="4"/>
        <v>13319.113412766761</v>
      </c>
      <c r="G28" s="154">
        <f>INDEX(tblMatières[% récupération],MATCH($B28,tblMatières[Matière],0))</f>
        <v>0.16155998919733094</v>
      </c>
      <c r="H28" s="335">
        <f>INDEX(tblMatières[Coût net ACA],MATCH($B28,tblMatières[Matière],0))</f>
        <v>621.97324859830064</v>
      </c>
      <c r="I28" s="340">
        <f t="shared" si="8"/>
        <v>635.75832055640251</v>
      </c>
      <c r="J28" s="103">
        <v>543.38</v>
      </c>
      <c r="K28" s="384">
        <f t="shared" si="9"/>
        <v>0.1700068470617293</v>
      </c>
    </row>
    <row r="29" spans="1:11" x14ac:dyDescent="0.25">
      <c r="A29" s="38"/>
      <c r="B29" s="37" t="str">
        <f>INDEX(ListeMatières,17)</f>
        <v>Pellicules HDPE et LDPE</v>
      </c>
      <c r="C29" s="160">
        <f>INDEX(tblMatières[Quantité déclarée (tonnes)],MATCH($B29,tblMatières[Matière],0))</f>
        <v>20483.853999999999</v>
      </c>
      <c r="D29" s="173">
        <f>INDEX(tblMatières[Quantité générée (tonnes)],MATCH($B29,tblMatières[Matière],0))</f>
        <v>20483.853999999999</v>
      </c>
      <c r="E29" s="173">
        <f>INDEX(tblMatières[Quantité récupérée (tonnes)],MATCH($B29,tblMatières[Matière],0))</f>
        <v>7126.9914428520478</v>
      </c>
      <c r="F29" s="173">
        <f t="shared" si="4"/>
        <v>13356.862557147952</v>
      </c>
      <c r="G29" s="154">
        <f>INDEX(tblMatières[% récupération],MATCH($B29,tblMatières[Matière],0))</f>
        <v>0.34793215392240384</v>
      </c>
      <c r="H29" s="335">
        <f>INDEX(tblMatières[Coût net ACA],MATCH($B29,tblMatières[Matière],0))</f>
        <v>593.8744079494785</v>
      </c>
      <c r="I29" s="340">
        <f t="shared" si="8"/>
        <v>609.02</v>
      </c>
      <c r="J29" s="103">
        <v>543.38</v>
      </c>
      <c r="K29" s="384">
        <f t="shared" si="9"/>
        <v>0.1207994405388495</v>
      </c>
    </row>
    <row r="30" spans="1:11" x14ac:dyDescent="0.25">
      <c r="A30" s="38"/>
      <c r="B30" s="37" t="str">
        <f>INDEX(ListeMatières,18)</f>
        <v>Sacs d'emplettes de pellicules HDPE et LDPE</v>
      </c>
      <c r="C30" s="160">
        <f>INDEX(tblMatières[Quantité déclarée (tonnes)],MATCH($B30,tblMatières[Matière],0))</f>
        <v>10065.867</v>
      </c>
      <c r="D30" s="173">
        <f>INDEX(tblMatières[Quantité générée (tonnes)],MATCH($B30,tblMatières[Matière],0))</f>
        <v>10065.867</v>
      </c>
      <c r="E30" s="173">
        <f>INDEX(tblMatières[Quantité récupérée (tonnes)],MATCH($B30,tblMatières[Matière],0))</f>
        <v>1586.2200315921225</v>
      </c>
      <c r="F30" s="173">
        <f t="shared" si="4"/>
        <v>8479.6469684078784</v>
      </c>
      <c r="G30" s="154">
        <f>INDEX(tblMatières[% récupération],MATCH($B30,tblMatières[Matière],0))</f>
        <v>0.15758404433439488</v>
      </c>
      <c r="H30" s="335">
        <f>INDEX(tblMatières[Coût net ACA],MATCH($B30,tblMatières[Matière],0))</f>
        <v>593.8744079494785</v>
      </c>
      <c r="I30" s="340">
        <f t="shared" si="8"/>
        <v>609.02</v>
      </c>
      <c r="J30" s="103">
        <v>543.38</v>
      </c>
      <c r="K30" s="384">
        <f t="shared" si="9"/>
        <v>0.1207994405388495</v>
      </c>
    </row>
    <row r="31" spans="1:11" x14ac:dyDescent="0.25">
      <c r="A31" s="38"/>
      <c r="B31" s="37" t="str">
        <f>INDEX(ListeMatières,19)</f>
        <v>Polystyrène expansé alimentaire</v>
      </c>
      <c r="C31" s="160">
        <f>INDEX(tblMatières[Quantité déclarée (tonnes)],MATCH($B31,tblMatières[Matière],0))</f>
        <v>3369.3789999999999</v>
      </c>
      <c r="D31" s="173">
        <f>INDEX(tblMatières[Quantité générée (tonnes)],MATCH($B31,tblMatières[Matière],0))</f>
        <v>3369.3789999999999</v>
      </c>
      <c r="E31" s="173">
        <f>INDEX(tblMatières[Quantité récupérée (tonnes)],MATCH($B31,tblMatières[Matière],0))</f>
        <v>388.92322480010046</v>
      </c>
      <c r="F31" s="173">
        <f t="shared" si="4"/>
        <v>2980.4557751998996</v>
      </c>
      <c r="G31" s="154">
        <f>INDEX(tblMatières[% récupération],MATCH($B31,tblMatières[Matière],0))</f>
        <v>0.11542875550660833</v>
      </c>
      <c r="H31" s="335">
        <f>INDEX(tblMatières[Coût net ACA],MATCH($B31,tblMatières[Matière],0))</f>
        <v>2134.5365333725535</v>
      </c>
      <c r="I31" s="340">
        <f t="shared" si="8"/>
        <v>987.15</v>
      </c>
      <c r="J31" s="103">
        <v>943.35</v>
      </c>
      <c r="K31" s="384">
        <f t="shared" si="9"/>
        <v>4.6430275083479078E-2</v>
      </c>
    </row>
    <row r="32" spans="1:11" x14ac:dyDescent="0.25">
      <c r="A32" s="259"/>
      <c r="B32" s="37" t="str">
        <f>INDEX(ListeMatières,20)</f>
        <v>Polystyrène expansé de protection</v>
      </c>
      <c r="C32" s="160">
        <f>INDEX(tblMatières[Quantité déclarée (tonnes)],MATCH($B32,tblMatières[Matière],0))</f>
        <v>1085.0350000000001</v>
      </c>
      <c r="D32" s="173">
        <f>INDEX(tblMatières[Quantité générée (tonnes)],MATCH($B32,tblMatières[Matière],0))</f>
        <v>1085.0350000000001</v>
      </c>
      <c r="E32" s="173">
        <f>INDEX(tblMatières[Quantité récupérée (tonnes)],MATCH($B32,tblMatières[Matière],0))</f>
        <v>407.00702106329919</v>
      </c>
      <c r="F32" s="173">
        <f t="shared" si="4"/>
        <v>678.02797893670095</v>
      </c>
      <c r="G32" s="154">
        <f>INDEX(tblMatières[% récupération],MATCH($B32,tblMatières[Matière],0))</f>
        <v>0.37510957809038342</v>
      </c>
      <c r="H32" s="335">
        <f>INDEX(tblMatières[Coût net ACA],MATCH($B32,tblMatières[Matière],0))</f>
        <v>2134.5365333725535</v>
      </c>
      <c r="I32" s="340">
        <f t="shared" si="8"/>
        <v>987.15</v>
      </c>
      <c r="J32" s="103">
        <v>943.35</v>
      </c>
      <c r="K32" s="384">
        <f>IF(J32&gt;0,I32/J32-1,0)</f>
        <v>4.6430275083479078E-2</v>
      </c>
    </row>
    <row r="33" spans="1:11" x14ac:dyDescent="0.25">
      <c r="A33" s="38"/>
      <c r="B33" s="37" t="str">
        <f>INDEX(ListeMatières,21)</f>
        <v>Polystyrène non expansé</v>
      </c>
      <c r="C33" s="160">
        <f>INDEX(tblMatières[Quantité déclarée (tonnes)],MATCH($B33,tblMatières[Matière],0))</f>
        <v>4235.3710000000001</v>
      </c>
      <c r="D33" s="173">
        <f>INDEX(tblMatières[Quantité générée (tonnes)],MATCH($B33,tblMatières[Matière],0))</f>
        <v>4235.3710000000001</v>
      </c>
      <c r="E33" s="173">
        <f>INDEX(tblMatières[Quantité récupérée (tonnes)],MATCH($B33,tblMatières[Matière],0))</f>
        <v>1053.7743325675031</v>
      </c>
      <c r="F33" s="173">
        <f t="shared" si="4"/>
        <v>3181.5966674324973</v>
      </c>
      <c r="G33" s="154">
        <f>INDEX(tblMatières[% récupération],MATCH($B33,tblMatières[Matière],0))</f>
        <v>0.24880331205164863</v>
      </c>
      <c r="H33" s="335">
        <f>INDEX(tblMatières[Coût net ACA],MATCH($B33,tblMatières[Matière],0))</f>
        <v>418.36940823149445</v>
      </c>
      <c r="I33" s="340">
        <f t="shared" si="8"/>
        <v>987.15</v>
      </c>
      <c r="J33" s="103">
        <v>943.35</v>
      </c>
      <c r="K33" s="384">
        <f t="shared" si="9"/>
        <v>4.6430275083479078E-2</v>
      </c>
    </row>
    <row r="34" spans="1:11" x14ac:dyDescent="0.25">
      <c r="A34" s="38"/>
      <c r="B34" s="37" t="str">
        <f>INDEX(ListeMatières,22)</f>
        <v>Contenants de PET</v>
      </c>
      <c r="C34" s="160">
        <f>INDEX(tblMatières[Quantité déclarée (tonnes)],MATCH($B34,tblMatières[Matière],0))</f>
        <v>8932.5040000000008</v>
      </c>
      <c r="D34" s="173">
        <f>INDEX(tblMatières[Quantité générée (tonnes)],MATCH($B34,tblMatières[Matière],0))</f>
        <v>8932.5040000000008</v>
      </c>
      <c r="E34" s="173">
        <f>INDEX(tblMatières[Quantité récupérée (tonnes)],MATCH($B34,tblMatières[Matière],0))</f>
        <v>5114.7294039183307</v>
      </c>
      <c r="F34" s="173">
        <f t="shared" si="4"/>
        <v>3817.7745960816701</v>
      </c>
      <c r="G34" s="154">
        <f>INDEX(tblMatières[% récupération],MATCH($B34,tblMatières[Matière],0))</f>
        <v>0.57259749381789593</v>
      </c>
      <c r="H34" s="335">
        <f>INDEX(tblMatières[Coût net ACA],MATCH($B34,tblMatières[Matière],0))</f>
        <v>369.64286604312804</v>
      </c>
      <c r="I34" s="340">
        <f t="shared" si="8"/>
        <v>340.65</v>
      </c>
      <c r="J34" s="103">
        <v>300.39999999999998</v>
      </c>
      <c r="K34" s="384">
        <f t="shared" si="9"/>
        <v>0.13398801597869503</v>
      </c>
    </row>
    <row r="35" spans="1:11" x14ac:dyDescent="0.25">
      <c r="A35" s="38"/>
      <c r="B35" s="37" t="str">
        <f>INDEX(ListeMatières,23)</f>
        <v>Acide polylactique (PLA) et autres plastiques dégradables</v>
      </c>
      <c r="C35" s="160">
        <f>INDEX(tblMatières[Quantité déclarée (tonnes)],MATCH($B35,tblMatières[Matière],0))</f>
        <v>350.81</v>
      </c>
      <c r="D35" s="173">
        <f>INDEX(tblMatières[Quantité générée (tonnes)],MATCH($B35,tblMatières[Matière],0))</f>
        <v>350.81</v>
      </c>
      <c r="E35" s="173">
        <f>INDEX(tblMatières[Quantité récupérée (tonnes)],MATCH($B35,tblMatières[Matière],0))</f>
        <v>191.54226000000003</v>
      </c>
      <c r="F35" s="173">
        <f t="shared" si="4"/>
        <v>159.26773999999997</v>
      </c>
      <c r="G35" s="154">
        <f>INDEX(tblMatières[% récupération],MATCH($B35,tblMatières[Matière],0))</f>
        <v>0.54600000000000004</v>
      </c>
      <c r="H35" s="335">
        <f>INDEX(tblMatières[Coût net ACA],MATCH($B35,tblMatières[Matière],0))</f>
        <v>279.1537244389915</v>
      </c>
      <c r="I35" s="340">
        <f t="shared" si="8"/>
        <v>987.15</v>
      </c>
      <c r="J35" s="103">
        <v>943.35</v>
      </c>
      <c r="K35" s="384">
        <f t="shared" si="9"/>
        <v>4.6430275083479078E-2</v>
      </c>
    </row>
    <row r="36" spans="1:11" x14ac:dyDescent="0.25">
      <c r="A36" s="40"/>
      <c r="B36" s="239" t="str">
        <f>INDEX(ListeMatières,24)</f>
        <v>Autres plastiques, polymères et polyuréthane</v>
      </c>
      <c r="C36" s="160">
        <f>INDEX(tblMatières[Quantité déclarée (tonnes)],MATCH($B36,tblMatières[Matière],0))</f>
        <v>37245.540999999997</v>
      </c>
      <c r="D36" s="173">
        <f>INDEX(tblMatières[Quantité générée (tonnes)],MATCH($B36,tblMatières[Matière],0))</f>
        <v>37245.540999999997</v>
      </c>
      <c r="E36" s="173">
        <f>INDEX(tblMatières[Quantité récupérée (tonnes)],MATCH($B36,tblMatières[Matière],0))</f>
        <v>16276.301416999999</v>
      </c>
      <c r="F36" s="173">
        <f t="shared" si="4"/>
        <v>20969.239582999999</v>
      </c>
      <c r="G36" s="154">
        <f>INDEX(tblMatières[% récupération],MATCH($B36,tblMatières[Matière],0))</f>
        <v>0.437</v>
      </c>
      <c r="H36" s="335">
        <f>INDEX(tblMatières[Coût net ACA],MATCH($B36,tblMatières[Matière],0))</f>
        <v>306.98795659841801</v>
      </c>
      <c r="I36" s="340">
        <f t="shared" si="8"/>
        <v>405.01</v>
      </c>
      <c r="J36" s="103">
        <v>359.48</v>
      </c>
      <c r="K36" s="384">
        <f t="shared" si="9"/>
        <v>0.12665516857683312</v>
      </c>
    </row>
    <row r="37" spans="1:11" x14ac:dyDescent="0.25">
      <c r="A37" s="43" t="s">
        <v>31</v>
      </c>
      <c r="B37" s="10"/>
      <c r="C37" s="164">
        <f>SUBTOTAL(9,C26:C36)</f>
        <v>152989.08499999996</v>
      </c>
      <c r="D37" s="177">
        <f t="shared" ref="D37:E37" si="10">SUBTOTAL(9,D26:D36)</f>
        <v>152989.08499999996</v>
      </c>
      <c r="E37" s="177">
        <f t="shared" si="10"/>
        <v>69568.851820988391</v>
      </c>
      <c r="F37" s="177">
        <f t="shared" si="4"/>
        <v>83420.233179011571</v>
      </c>
      <c r="G37" s="158">
        <f>E37/D37</f>
        <v>0.45473081835209622</v>
      </c>
      <c r="H37" s="339"/>
      <c r="I37" s="342">
        <f>INDEX(rgTarif_TxFinal,MATCH($A37,Tarif!$B$11:$B$52,0))</f>
        <v>458.19401783454839</v>
      </c>
      <c r="J37" s="109">
        <v>408.81</v>
      </c>
      <c r="K37" s="388">
        <f t="shared" si="9"/>
        <v>0.12079943698673801</v>
      </c>
    </row>
    <row r="38" spans="1:11" x14ac:dyDescent="0.25">
      <c r="A38" s="46" t="s">
        <v>37</v>
      </c>
      <c r="B38" s="37" t="str">
        <f>INDEX(ListeMatières,25)</f>
        <v>Contenants pour aliments et breuvages en aluminium</v>
      </c>
      <c r="C38" s="160">
        <f>INDEX(tblMatières[Quantité déclarée (tonnes)],MATCH($B38,tblMatières[Matière],0))</f>
        <v>4037.5839999999998</v>
      </c>
      <c r="D38" s="173">
        <f>INDEX(tblMatières[Quantité générée (tonnes)],MATCH($B38,tblMatières[Matière],0))</f>
        <v>4037.5839999999998</v>
      </c>
      <c r="E38" s="173">
        <f>INDEX(tblMatières[Quantité récupérée (tonnes)],MATCH($B38,tblMatières[Matière],0))</f>
        <v>1946.6893408439882</v>
      </c>
      <c r="F38" s="173">
        <f t="shared" si="4"/>
        <v>2090.8946591560116</v>
      </c>
      <c r="G38" s="154">
        <f>INDEX(tblMatières[% récupération],MATCH($B38,tblMatières[Matière],0))</f>
        <v>0.48214212777839133</v>
      </c>
      <c r="H38" s="335">
        <f>INDEX(tblMatières[Coût net ACA],MATCH($B38,tblMatières[Matière],0))</f>
        <v>-132.57145138474164</v>
      </c>
      <c r="I38" s="340">
        <f>INDEX(rgTarif_TxFinal,MATCH($B38,rgTarif_Matières,0))</f>
        <v>221.64</v>
      </c>
      <c r="J38" s="103">
        <v>205.15</v>
      </c>
      <c r="K38" s="384">
        <f t="shared" si="6"/>
        <v>8.0380209602729513E-2</v>
      </c>
    </row>
    <row r="39" spans="1:11" x14ac:dyDescent="0.25">
      <c r="A39" s="46"/>
      <c r="B39" s="37" t="str">
        <f>INDEX(ListeMatières,26)</f>
        <v>Autres contenants et emballages en aluminium</v>
      </c>
      <c r="C39" s="160">
        <f>INDEX(tblMatières[Quantité déclarée (tonnes)],MATCH($B39,tblMatières[Matière],0))</f>
        <v>3963.2570000000001</v>
      </c>
      <c r="D39" s="173">
        <f>INDEX(tblMatières[Quantité générée (tonnes)],MATCH($B39,tblMatières[Matière],0))</f>
        <v>3963.2570000000001</v>
      </c>
      <c r="E39" s="173">
        <f>INDEX(tblMatières[Quantité récupérée (tonnes)],MATCH($B39,tblMatières[Matière],0))</f>
        <v>397.62020471495117</v>
      </c>
      <c r="F39" s="173">
        <f t="shared" si="4"/>
        <v>3565.6367952850487</v>
      </c>
      <c r="G39" s="154">
        <f>INDEX(tblMatières[% récupération],MATCH($B39,tblMatières[Matière],0))</f>
        <v>0.10032662648799993</v>
      </c>
      <c r="H39" s="335">
        <f>INDEX(tblMatières[Coût net ACA],MATCH($B39,tblMatières[Matière],0))</f>
        <v>21.827221580767173</v>
      </c>
      <c r="I39" s="340">
        <f>INDEX(rgTarif_TxFinal,MATCH($B39,rgTarif_Matières,0))</f>
        <v>221.64</v>
      </c>
      <c r="J39" s="103">
        <v>205.15</v>
      </c>
      <c r="K39" s="384">
        <f t="shared" si="6"/>
        <v>8.0380209602729513E-2</v>
      </c>
    </row>
    <row r="40" spans="1:11" x14ac:dyDescent="0.25">
      <c r="A40" s="43" t="s">
        <v>55</v>
      </c>
      <c r="B40" s="10"/>
      <c r="C40" s="164">
        <f>SUBTOTAL(9,C38:C39)</f>
        <v>8000.8410000000003</v>
      </c>
      <c r="D40" s="177">
        <f t="shared" ref="D40:E40" si="11">SUBTOTAL(9,D38:D39)</f>
        <v>8000.8410000000003</v>
      </c>
      <c r="E40" s="177">
        <f t="shared" si="11"/>
        <v>2344.3095455589396</v>
      </c>
      <c r="F40" s="177">
        <f t="shared" si="4"/>
        <v>5656.5314544410612</v>
      </c>
      <c r="G40" s="158">
        <f>E40/D40</f>
        <v>0.29300789074035338</v>
      </c>
      <c r="H40" s="339"/>
      <c r="I40" s="342">
        <f>INDEX(rgTarif_TxFinal,MATCH($A40,Tarif!$B$11:$B$52,0))</f>
        <v>221.64</v>
      </c>
      <c r="J40" s="109">
        <v>205.15</v>
      </c>
      <c r="K40" s="388">
        <f t="shared" si="6"/>
        <v>8.0380209602729513E-2</v>
      </c>
    </row>
    <row r="41" spans="1:11" x14ac:dyDescent="0.25">
      <c r="A41" s="46" t="s">
        <v>36</v>
      </c>
      <c r="B41" s="37" t="str">
        <f>INDEX(ListeMatières,27)</f>
        <v>Bombes aérosol en acier</v>
      </c>
      <c r="C41" s="160">
        <f>INDEX(tblMatières[Quantité déclarée (tonnes)],MATCH($B41,tblMatières[Matière],0))</f>
        <v>1741.7629999999999</v>
      </c>
      <c r="D41" s="173">
        <f>INDEX(tblMatières[Quantité générée (tonnes)],MATCH($B41,tblMatières[Matière],0))</f>
        <v>1741.7629999999999</v>
      </c>
      <c r="E41" s="173">
        <f>INDEX(tblMatières[Quantité récupérée (tonnes)],MATCH($B41,tblMatières[Matière],0))</f>
        <v>305.33105390000003</v>
      </c>
      <c r="F41" s="173">
        <f t="shared" si="4"/>
        <v>1436.4319461</v>
      </c>
      <c r="G41" s="154">
        <f>INDEX(tblMatières[% récupération],MATCH($B41,tblMatières[Matière],0))</f>
        <v>0.17530000000000001</v>
      </c>
      <c r="H41" s="335">
        <f>INDEX(tblMatières[Coût net ACA],MATCH($B41,tblMatières[Matière],0))</f>
        <v>27.31159181624821</v>
      </c>
      <c r="I41" s="340">
        <f>INDEX(rgTarif_TxFinal,MATCH($B41,rgTarif_Matières,0))</f>
        <v>194.51</v>
      </c>
      <c r="J41" s="103">
        <v>175.97</v>
      </c>
      <c r="K41" s="384">
        <f>IF(J41&gt;0,I41/J41-1,0)</f>
        <v>0.10535886798886174</v>
      </c>
    </row>
    <row r="42" spans="1:11" x14ac:dyDescent="0.25">
      <c r="A42" s="46"/>
      <c r="B42" s="37" t="str">
        <f>INDEX(ListeMatières,28)</f>
        <v>Autres contenants en acier</v>
      </c>
      <c r="C42" s="160">
        <f>INDEX(tblMatières[Quantité déclarée (tonnes)],MATCH($B42,tblMatières[Matière],0))</f>
        <v>25404.03</v>
      </c>
      <c r="D42" s="173">
        <f>INDEX(tblMatières[Quantité générée (tonnes)],MATCH($B42,tblMatières[Matière],0))</f>
        <v>25404.03</v>
      </c>
      <c r="E42" s="173">
        <f>INDEX(tblMatières[Quantité récupérée (tonnes)],MATCH($B42,tblMatières[Matière],0))</f>
        <v>16476.642154247114</v>
      </c>
      <c r="F42" s="173">
        <f t="shared" si="4"/>
        <v>8927.3878457528845</v>
      </c>
      <c r="G42" s="154">
        <f>INDEX(tblMatières[% récupération],MATCH($B42,tblMatières[Matière],0))</f>
        <v>0.64858379376213593</v>
      </c>
      <c r="H42" s="335">
        <f>INDEX(tblMatières[Coût net ACA],MATCH($B42,tblMatières[Matière],0))</f>
        <v>73.418793262923771</v>
      </c>
      <c r="I42" s="340">
        <f>INDEX(rgTarif_TxFinal,MATCH($B42,rgTarif_Matières,0))</f>
        <v>194.51</v>
      </c>
      <c r="J42" s="103">
        <v>175.97</v>
      </c>
      <c r="K42" s="384">
        <f>IF(J42&gt;0,I42/J42-1,0)</f>
        <v>0.10535886798886174</v>
      </c>
    </row>
    <row r="43" spans="1:11" x14ac:dyDescent="0.25">
      <c r="A43" s="43" t="s">
        <v>154</v>
      </c>
      <c r="B43" s="10"/>
      <c r="C43" s="164">
        <f>SUBTOTAL(9,C41:C42)</f>
        <v>27145.792999999998</v>
      </c>
      <c r="D43" s="177">
        <f t="shared" ref="D43" si="12">SUBTOTAL(9,D41:D42)</f>
        <v>27145.792999999998</v>
      </c>
      <c r="E43" s="177">
        <f t="shared" ref="E43" si="13">SUBTOTAL(9,E41:E42)</f>
        <v>16781.973208147116</v>
      </c>
      <c r="F43" s="177">
        <f t="shared" si="4"/>
        <v>10363.819791852882</v>
      </c>
      <c r="G43" s="158">
        <f>E43/D43</f>
        <v>0.61821635522480833</v>
      </c>
      <c r="H43" s="339"/>
      <c r="I43" s="342">
        <f>INDEX(rgTarif_TxFinal,MATCH($A43,Tarif!$B$11:$B$52,0))</f>
        <v>194.51</v>
      </c>
      <c r="J43" s="109">
        <v>175.97</v>
      </c>
      <c r="K43" s="388">
        <f>IF(J43&gt;0,I43/J43-1,0)</f>
        <v>0.10535886798886174</v>
      </c>
    </row>
    <row r="44" spans="1:11" x14ac:dyDescent="0.25">
      <c r="A44" s="46" t="s">
        <v>17</v>
      </c>
      <c r="B44" s="37" t="str">
        <f>INDEX(ListeMatières,29)</f>
        <v>Verre clair</v>
      </c>
      <c r="C44" s="160">
        <f>INDEX(tblMatières[Quantité déclarée (tonnes)],MATCH($B44,tblMatières[Matière],0))</f>
        <v>64834.576999999997</v>
      </c>
      <c r="D44" s="173">
        <f>INDEX(tblMatières[Quantité générée (tonnes)],MATCH($B44,tblMatières[Matière],0))</f>
        <v>64834.576999999997</v>
      </c>
      <c r="E44" s="173">
        <f>INDEX(tblMatières[Quantité récupérée (tonnes)],MATCH($B44,tblMatières[Matière],0))</f>
        <v>51115.154889588826</v>
      </c>
      <c r="F44" s="173">
        <f t="shared" si="4"/>
        <v>13719.422110411171</v>
      </c>
      <c r="G44" s="154">
        <f>INDEX(tblMatières[% récupération],MATCH($B44,tblMatières[Matière],0))</f>
        <v>0.78839343533603723</v>
      </c>
      <c r="H44" s="335">
        <f>INDEX(tblMatières[Coût net ACA],MATCH($B44,tblMatières[Matière],0))</f>
        <v>202.92146062336138</v>
      </c>
      <c r="I44" s="340">
        <f>INDEX(rgTarif_TxFinal,MATCH($B44,rgTarif_Matières,0))</f>
        <v>234.47</v>
      </c>
      <c r="J44" s="103">
        <v>208.19</v>
      </c>
      <c r="K44" s="384">
        <f t="shared" si="6"/>
        <v>0.12623084682261387</v>
      </c>
    </row>
    <row r="45" spans="1:11" x14ac:dyDescent="0.25">
      <c r="A45" s="46"/>
      <c r="B45" s="37" t="str">
        <f>INDEX(ListeMatières,30)</f>
        <v>Verre coloré</v>
      </c>
      <c r="C45" s="160">
        <f>INDEX(tblMatières[Quantité déclarée (tonnes)],MATCH($B45,tblMatières[Matière],0))</f>
        <v>85096.618000000002</v>
      </c>
      <c r="D45" s="173">
        <f>INDEX(tblMatières[Quantité générée (tonnes)],MATCH($B45,tblMatières[Matière],0))</f>
        <v>85096.618000000002</v>
      </c>
      <c r="E45" s="173">
        <f>INDEX(tblMatières[Quantité récupérée (tonnes)],MATCH($B45,tblMatières[Matière],0))</f>
        <v>67089.615000498467</v>
      </c>
      <c r="F45" s="173">
        <f t="shared" si="4"/>
        <v>18007.002999501536</v>
      </c>
      <c r="G45" s="154">
        <f>INDEX(tblMatières[% récupération],MATCH($B45,tblMatières[Matière],0))</f>
        <v>0.78839343533603723</v>
      </c>
      <c r="H45" s="335">
        <f>INDEX(tblMatières[Coût net ACA],MATCH($B45,tblMatières[Matière],0))</f>
        <v>204.57832172323174</v>
      </c>
      <c r="I45" s="340">
        <f>INDEX(rgTarif_TxFinal,MATCH($B45,rgTarif_Matières,0))</f>
        <v>235.79</v>
      </c>
      <c r="J45" s="103">
        <v>209.35</v>
      </c>
      <c r="K45" s="384">
        <f t="shared" si="6"/>
        <v>0.12629567709577261</v>
      </c>
    </row>
    <row r="46" spans="1:11" x14ac:dyDescent="0.25">
      <c r="A46" s="46"/>
      <c r="B46" s="37" t="str">
        <f>INDEX(ListeMatières,31)</f>
        <v>Céramique</v>
      </c>
      <c r="C46" s="160">
        <f>INDEX(tblMatières[Quantité déclarée (tonnes)],MATCH($B46,tblMatières[Matière],0))</f>
        <v>678</v>
      </c>
      <c r="D46" s="173">
        <f>INDEX(tblMatières[Quantité générée (tonnes)],MATCH($B46,tblMatières[Matière],0))</f>
        <v>678</v>
      </c>
      <c r="E46" s="173">
        <f>INDEX(tblMatières[Quantité récupérée (tonnes)],MATCH($B46,tblMatières[Matière],0))</f>
        <v>166.78800000000001</v>
      </c>
      <c r="F46" s="173">
        <f t="shared" si="4"/>
        <v>511.21199999999999</v>
      </c>
      <c r="G46" s="154">
        <f>INDEX(tblMatières[% récupération],MATCH($B46,tblMatières[Matière],0))</f>
        <v>0.246</v>
      </c>
      <c r="H46" s="335">
        <f>INDEX(tblMatières[Coût net ACA],MATCH($B46,tblMatières[Matière],0))</f>
        <v>242.48999999999998</v>
      </c>
      <c r="I46" s="340">
        <f>INDEX(rgTarif_TxFinal,MATCH($B46,rgTarif_Matières,0))</f>
        <v>386.03</v>
      </c>
      <c r="J46" s="103"/>
      <c r="K46" s="384"/>
    </row>
    <row r="47" spans="1:11" x14ac:dyDescent="0.25">
      <c r="A47" s="43" t="s">
        <v>30</v>
      </c>
      <c r="B47" s="10"/>
      <c r="C47" s="164">
        <f>SUBTOTAL(9,C44:C45)</f>
        <v>149931.19500000001</v>
      </c>
      <c r="D47" s="177">
        <f t="shared" ref="D47" si="14">SUBTOTAL(9,D44:D45)</f>
        <v>149931.19500000001</v>
      </c>
      <c r="E47" s="177">
        <f t="shared" ref="E47" si="15">SUBTOTAL(9,E44:E45)</f>
        <v>118204.76989008729</v>
      </c>
      <c r="F47" s="177">
        <f t="shared" si="4"/>
        <v>31726.425109912714</v>
      </c>
      <c r="G47" s="158">
        <f>E47/D47</f>
        <v>0.78839343533603723</v>
      </c>
      <c r="H47" s="110"/>
      <c r="I47" s="342">
        <f>INDEX(rgTarif_TxFinal,MATCH($A47,Tarif!$B$11:$B$52,0))</f>
        <v>235.8981014898194</v>
      </c>
      <c r="J47" s="109">
        <v>208.87</v>
      </c>
      <c r="K47" s="388">
        <f t="shared" si="6"/>
        <v>0.12940154876152343</v>
      </c>
    </row>
    <row r="48" spans="1:11" ht="15.75" thickBot="1" x14ac:dyDescent="0.3">
      <c r="A48" s="56" t="s">
        <v>32</v>
      </c>
      <c r="B48" s="23"/>
      <c r="C48" s="161">
        <f>SUBTOTAL(9,C18:C47)</f>
        <v>524256.67600000004</v>
      </c>
      <c r="D48" s="174">
        <f t="shared" ref="D48:E48" si="16">SUBTOTAL(9,D18:D47)</f>
        <v>524256.67600000004</v>
      </c>
      <c r="E48" s="174">
        <f t="shared" si="16"/>
        <v>326746.38656966464</v>
      </c>
      <c r="F48" s="174">
        <f t="shared" si="4"/>
        <v>197510.2894303354</v>
      </c>
      <c r="G48" s="157">
        <f>E48/D48</f>
        <v>0.62325651065178733</v>
      </c>
      <c r="H48" s="106"/>
      <c r="I48" s="341">
        <f>INDEX(rgTarif_TxFinal,MATCH($A48,Tarif!$B$11:$B$52,0))</f>
        <v>310.42565629882898</v>
      </c>
      <c r="J48" s="105">
        <v>278.36</v>
      </c>
      <c r="K48" s="385">
        <f t="shared" si="6"/>
        <v>0.11519491413575578</v>
      </c>
    </row>
    <row r="49" spans="1:11" x14ac:dyDescent="0.25">
      <c r="A49" s="38"/>
      <c r="B49" s="35"/>
      <c r="C49" s="162"/>
      <c r="D49" s="175"/>
      <c r="E49" s="175"/>
      <c r="F49" s="175"/>
      <c r="G49" s="152"/>
      <c r="H49" s="137"/>
      <c r="I49" s="114"/>
      <c r="J49" s="113"/>
      <c r="K49" s="386"/>
    </row>
    <row r="50" spans="1:11" ht="15.75" thickBot="1" x14ac:dyDescent="0.3">
      <c r="A50" s="57" t="s">
        <v>33</v>
      </c>
      <c r="B50" s="14"/>
      <c r="C50" s="165">
        <f>SUBTOTAL(9,C9:C48)</f>
        <v>622392.90399999998</v>
      </c>
      <c r="D50" s="178">
        <f t="shared" ref="D50:E50" si="17">SUBTOTAL(9,D9:D48)</f>
        <v>622392.90399999998</v>
      </c>
      <c r="E50" s="178">
        <f t="shared" si="17"/>
        <v>404394.7324863039</v>
      </c>
      <c r="F50" s="178">
        <f>D50-E50</f>
        <v>217998.17151369608</v>
      </c>
      <c r="G50" s="241">
        <f>E50/D50</f>
        <v>0.64974187508780457</v>
      </c>
      <c r="H50" s="138"/>
      <c r="I50" s="343">
        <f>INDEX(rgTarif_TxFinal,MATCH($A50,Tarif!$B$11:$B$52,0))</f>
        <v>334.48504122849477</v>
      </c>
      <c r="J50" s="115">
        <v>289.54000000000002</v>
      </c>
      <c r="K50" s="389">
        <f>IF(J50&gt;0,I50/J50-1,0)</f>
        <v>0.15522912629859342</v>
      </c>
    </row>
    <row r="51" spans="1:11" ht="15.75" thickTop="1" x14ac:dyDescent="0.25">
      <c r="C51" s="245"/>
    </row>
    <row r="52" spans="1:11" x14ac:dyDescent="0.25">
      <c r="C52" s="245"/>
    </row>
    <row r="53" spans="1:11" x14ac:dyDescent="0.25">
      <c r="C53" s="245"/>
    </row>
    <row r="54" spans="1:11" x14ac:dyDescent="0.25">
      <c r="C54" s="245"/>
    </row>
    <row r="55" spans="1:11" x14ac:dyDescent="0.25">
      <c r="C55" s="245"/>
    </row>
    <row r="56" spans="1:11" x14ac:dyDescent="0.25">
      <c r="C56" s="245"/>
    </row>
    <row r="57" spans="1:11" x14ac:dyDescent="0.25">
      <c r="C57" s="245"/>
    </row>
    <row r="58" spans="1:11" x14ac:dyDescent="0.25">
      <c r="C58" s="245"/>
    </row>
    <row r="59" spans="1:11" x14ac:dyDescent="0.25">
      <c r="C59" s="245"/>
    </row>
    <row r="60" spans="1:11" x14ac:dyDescent="0.25">
      <c r="C60" s="245"/>
    </row>
    <row r="61" spans="1:11" x14ac:dyDescent="0.25">
      <c r="C61" s="245"/>
    </row>
    <row r="62" spans="1:11" x14ac:dyDescent="0.25">
      <c r="C62" s="245"/>
    </row>
    <row r="63" spans="1:11" x14ac:dyDescent="0.25">
      <c r="C63" s="245"/>
    </row>
    <row r="64" spans="1:11" x14ac:dyDescent="0.25">
      <c r="C64" s="245"/>
    </row>
    <row r="65" spans="3:3" x14ac:dyDescent="0.25">
      <c r="C65" s="245"/>
    </row>
    <row r="66" spans="3:3" x14ac:dyDescent="0.25">
      <c r="C66" s="245"/>
    </row>
    <row r="67" spans="3:3" x14ac:dyDescent="0.25">
      <c r="C67" s="245"/>
    </row>
    <row r="68" spans="3:3" x14ac:dyDescent="0.25">
      <c r="C68" s="245"/>
    </row>
    <row r="69" spans="3:3" x14ac:dyDescent="0.25">
      <c r="C69" s="245"/>
    </row>
    <row r="70" spans="3:3" x14ac:dyDescent="0.25">
      <c r="C70" s="245"/>
    </row>
    <row r="71" spans="3:3" x14ac:dyDescent="0.25">
      <c r="C71" s="245"/>
    </row>
    <row r="72" spans="3:3" x14ac:dyDescent="0.25">
      <c r="C72" s="245"/>
    </row>
    <row r="73" spans="3:3" x14ac:dyDescent="0.25">
      <c r="C73" s="245"/>
    </row>
    <row r="74" spans="3:3" x14ac:dyDescent="0.25">
      <c r="C74" s="245"/>
    </row>
    <row r="75" spans="3:3" x14ac:dyDescent="0.25">
      <c r="C75" s="245"/>
    </row>
    <row r="76" spans="3:3" x14ac:dyDescent="0.25">
      <c r="C76" s="245"/>
    </row>
    <row r="77" spans="3:3" x14ac:dyDescent="0.25">
      <c r="C77" s="245"/>
    </row>
    <row r="78" spans="3:3" x14ac:dyDescent="0.25">
      <c r="C78" s="245"/>
    </row>
    <row r="79" spans="3:3" x14ac:dyDescent="0.25">
      <c r="C79" s="245"/>
    </row>
    <row r="80" spans="3:3" x14ac:dyDescent="0.25">
      <c r="C80" s="245"/>
    </row>
    <row r="81" spans="3:3" x14ac:dyDescent="0.25">
      <c r="C81" s="245"/>
    </row>
    <row r="82" spans="3:3" x14ac:dyDescent="0.25">
      <c r="C82" s="245"/>
    </row>
    <row r="83" spans="3:3" x14ac:dyDescent="0.25">
      <c r="C83" s="245"/>
    </row>
    <row r="84" spans="3:3" x14ac:dyDescent="0.25">
      <c r="C84" s="245"/>
    </row>
    <row r="85" spans="3:3" x14ac:dyDescent="0.25">
      <c r="C85" s="245"/>
    </row>
    <row r="86" spans="3:3" x14ac:dyDescent="0.25">
      <c r="C86" s="245"/>
    </row>
    <row r="87" spans="3:3" x14ac:dyDescent="0.25">
      <c r="C87" s="245"/>
    </row>
    <row r="88" spans="3:3" x14ac:dyDescent="0.25">
      <c r="C88" s="245"/>
    </row>
    <row r="89" spans="3:3" x14ac:dyDescent="0.25">
      <c r="C89" s="245"/>
    </row>
    <row r="90" spans="3:3" x14ac:dyDescent="0.25">
      <c r="C90" s="245"/>
    </row>
    <row r="91" spans="3:3" x14ac:dyDescent="0.25">
      <c r="C91" s="245"/>
    </row>
    <row r="92" spans="3:3" x14ac:dyDescent="0.25">
      <c r="C92" s="245"/>
    </row>
    <row r="93" spans="3:3" x14ac:dyDescent="0.25">
      <c r="C93" s="245"/>
    </row>
    <row r="94" spans="3:3" x14ac:dyDescent="0.25">
      <c r="C94" s="245"/>
    </row>
    <row r="95" spans="3:3" x14ac:dyDescent="0.25">
      <c r="C95" s="245"/>
    </row>
    <row r="96" spans="3:3" x14ac:dyDescent="0.25">
      <c r="C96" s="245"/>
    </row>
    <row r="97" spans="3:3" x14ac:dyDescent="0.25">
      <c r="C97" s="245"/>
    </row>
    <row r="98" spans="3:3" x14ac:dyDescent="0.25">
      <c r="C98" s="245"/>
    </row>
    <row r="99" spans="3:3" x14ac:dyDescent="0.25">
      <c r="C99" s="245"/>
    </row>
    <row r="100" spans="3:3" x14ac:dyDescent="0.25">
      <c r="C100" s="245"/>
    </row>
    <row r="101" spans="3:3" x14ac:dyDescent="0.25">
      <c r="C101" s="245"/>
    </row>
    <row r="102" spans="3:3" x14ac:dyDescent="0.25">
      <c r="C102" s="245"/>
    </row>
    <row r="103" spans="3:3" x14ac:dyDescent="0.25">
      <c r="C103" s="245"/>
    </row>
    <row r="104" spans="3:3" x14ac:dyDescent="0.25">
      <c r="C104" s="245"/>
    </row>
    <row r="105" spans="3:3" x14ac:dyDescent="0.25">
      <c r="C105" s="245"/>
    </row>
    <row r="106" spans="3:3" x14ac:dyDescent="0.25">
      <c r="C106" s="245"/>
    </row>
    <row r="107" spans="3:3" x14ac:dyDescent="0.25">
      <c r="C107" s="245"/>
    </row>
    <row r="108" spans="3:3" x14ac:dyDescent="0.25">
      <c r="C108" s="245"/>
    </row>
    <row r="109" spans="3:3" x14ac:dyDescent="0.25">
      <c r="C109" s="245"/>
    </row>
    <row r="110" spans="3:3" x14ac:dyDescent="0.25">
      <c r="C110" s="245"/>
    </row>
    <row r="111" spans="3:3" x14ac:dyDescent="0.25">
      <c r="C111" s="245"/>
    </row>
    <row r="112" spans="3:3" x14ac:dyDescent="0.25">
      <c r="C112" s="245"/>
    </row>
    <row r="113" spans="3:3" x14ac:dyDescent="0.25">
      <c r="C113" s="245"/>
    </row>
    <row r="114" spans="3:3" x14ac:dyDescent="0.25">
      <c r="C114" s="245"/>
    </row>
    <row r="115" spans="3:3" x14ac:dyDescent="0.25">
      <c r="C115" s="245"/>
    </row>
    <row r="116" spans="3:3" x14ac:dyDescent="0.25">
      <c r="C116" s="245"/>
    </row>
    <row r="117" spans="3:3" x14ac:dyDescent="0.25">
      <c r="C117" s="245"/>
    </row>
    <row r="118" spans="3:3" x14ac:dyDescent="0.25">
      <c r="C118" s="245"/>
    </row>
    <row r="119" spans="3:3" x14ac:dyDescent="0.25">
      <c r="C119" s="245"/>
    </row>
    <row r="120" spans="3:3" x14ac:dyDescent="0.25">
      <c r="C120" s="245"/>
    </row>
    <row r="121" spans="3:3" x14ac:dyDescent="0.25">
      <c r="C121" s="245"/>
    </row>
    <row r="122" spans="3:3" x14ac:dyDescent="0.25">
      <c r="C122" s="245"/>
    </row>
    <row r="123" spans="3:3" x14ac:dyDescent="0.25">
      <c r="C123" s="245"/>
    </row>
    <row r="124" spans="3:3" x14ac:dyDescent="0.25">
      <c r="C124" s="245"/>
    </row>
    <row r="125" spans="3:3" x14ac:dyDescent="0.25">
      <c r="C125" s="245"/>
    </row>
    <row r="126" spans="3:3" x14ac:dyDescent="0.25">
      <c r="C126" s="245"/>
    </row>
    <row r="127" spans="3:3" x14ac:dyDescent="0.25">
      <c r="C127" s="245"/>
    </row>
    <row r="128" spans="3:3" x14ac:dyDescent="0.25">
      <c r="C128" s="245"/>
    </row>
    <row r="129" spans="3:3" x14ac:dyDescent="0.25">
      <c r="C129" s="245"/>
    </row>
    <row r="130" spans="3:3" x14ac:dyDescent="0.25">
      <c r="C130" s="245"/>
    </row>
    <row r="131" spans="3:3" x14ac:dyDescent="0.25">
      <c r="C131" s="245"/>
    </row>
    <row r="132" spans="3:3" x14ac:dyDescent="0.25">
      <c r="C132" s="245"/>
    </row>
    <row r="133" spans="3:3" x14ac:dyDescent="0.25">
      <c r="C133" s="245"/>
    </row>
    <row r="134" spans="3:3" x14ac:dyDescent="0.25">
      <c r="C134" s="245"/>
    </row>
    <row r="135" spans="3:3" x14ac:dyDescent="0.25">
      <c r="C135" s="245"/>
    </row>
    <row r="136" spans="3:3" x14ac:dyDescent="0.25">
      <c r="C136" s="245"/>
    </row>
    <row r="137" spans="3:3" x14ac:dyDescent="0.25">
      <c r="C137" s="245"/>
    </row>
    <row r="138" spans="3:3" x14ac:dyDescent="0.25">
      <c r="C138" s="245"/>
    </row>
    <row r="139" spans="3:3" x14ac:dyDescent="0.25">
      <c r="C139" s="245"/>
    </row>
    <row r="140" spans="3:3" x14ac:dyDescent="0.25">
      <c r="C140" s="245"/>
    </row>
    <row r="141" spans="3:3" x14ac:dyDescent="0.25">
      <c r="C141" s="245"/>
    </row>
    <row r="142" spans="3:3" x14ac:dyDescent="0.25">
      <c r="C142" s="245"/>
    </row>
    <row r="143" spans="3:3" x14ac:dyDescent="0.25">
      <c r="C143" s="245"/>
    </row>
    <row r="144" spans="3:3" x14ac:dyDescent="0.25">
      <c r="C144" s="245"/>
    </row>
    <row r="145" spans="3:3" x14ac:dyDescent="0.25">
      <c r="C145" s="245"/>
    </row>
    <row r="146" spans="3:3" x14ac:dyDescent="0.25">
      <c r="C146" s="245"/>
    </row>
    <row r="147" spans="3:3" x14ac:dyDescent="0.25">
      <c r="C147" s="245"/>
    </row>
    <row r="148" spans="3:3" x14ac:dyDescent="0.25">
      <c r="C148" s="245"/>
    </row>
    <row r="149" spans="3:3" x14ac:dyDescent="0.25">
      <c r="C149" s="245"/>
    </row>
    <row r="150" spans="3:3" x14ac:dyDescent="0.25">
      <c r="C150" s="245"/>
    </row>
    <row r="151" spans="3:3" x14ac:dyDescent="0.25">
      <c r="C151" s="245"/>
    </row>
    <row r="152" spans="3:3" x14ac:dyDescent="0.25">
      <c r="C152" s="245"/>
    </row>
    <row r="153" spans="3:3" x14ac:dyDescent="0.25">
      <c r="C153" s="245"/>
    </row>
    <row r="154" spans="3:3" x14ac:dyDescent="0.25">
      <c r="C154" s="245"/>
    </row>
    <row r="155" spans="3:3" x14ac:dyDescent="0.25">
      <c r="C155" s="245"/>
    </row>
    <row r="156" spans="3:3" x14ac:dyDescent="0.25">
      <c r="C156" s="245"/>
    </row>
    <row r="157" spans="3:3" x14ac:dyDescent="0.25">
      <c r="C157" s="245"/>
    </row>
    <row r="158" spans="3:3" x14ac:dyDescent="0.25">
      <c r="C158" s="245"/>
    </row>
    <row r="159" spans="3:3" x14ac:dyDescent="0.25">
      <c r="C159" s="245"/>
    </row>
    <row r="160" spans="3:3" x14ac:dyDescent="0.25">
      <c r="C160" s="245"/>
    </row>
    <row r="161" spans="3:3" x14ac:dyDescent="0.25">
      <c r="C161" s="245"/>
    </row>
    <row r="162" spans="3:3" x14ac:dyDescent="0.25">
      <c r="C162" s="245"/>
    </row>
    <row r="163" spans="3:3" x14ac:dyDescent="0.25">
      <c r="C163" s="245"/>
    </row>
    <row r="164" spans="3:3" x14ac:dyDescent="0.25">
      <c r="C164" s="245"/>
    </row>
    <row r="165" spans="3:3" x14ac:dyDescent="0.25">
      <c r="C165" s="245"/>
    </row>
    <row r="166" spans="3:3" x14ac:dyDescent="0.25">
      <c r="C166" s="245"/>
    </row>
    <row r="167" spans="3:3" x14ac:dyDescent="0.25">
      <c r="C167" s="245"/>
    </row>
    <row r="168" spans="3:3" x14ac:dyDescent="0.25">
      <c r="C168" s="245"/>
    </row>
    <row r="169" spans="3:3" x14ac:dyDescent="0.25">
      <c r="C169" s="245"/>
    </row>
    <row r="170" spans="3:3" x14ac:dyDescent="0.25">
      <c r="C170" s="245"/>
    </row>
    <row r="171" spans="3:3" x14ac:dyDescent="0.25">
      <c r="C171" s="245"/>
    </row>
    <row r="172" spans="3:3" x14ac:dyDescent="0.25">
      <c r="C172" s="245"/>
    </row>
    <row r="173" spans="3:3" x14ac:dyDescent="0.25">
      <c r="C173" s="245"/>
    </row>
    <row r="174" spans="3:3" x14ac:dyDescent="0.25">
      <c r="C174" s="245"/>
    </row>
    <row r="175" spans="3:3" x14ac:dyDescent="0.25">
      <c r="C175" s="245"/>
    </row>
    <row r="176" spans="3:3" x14ac:dyDescent="0.25">
      <c r="C176" s="245"/>
    </row>
    <row r="177" spans="3:3" x14ac:dyDescent="0.25">
      <c r="C177" s="245"/>
    </row>
    <row r="178" spans="3:3" x14ac:dyDescent="0.25">
      <c r="C178" s="245"/>
    </row>
    <row r="179" spans="3:3" x14ac:dyDescent="0.25">
      <c r="C179" s="245"/>
    </row>
    <row r="180" spans="3:3" x14ac:dyDescent="0.25">
      <c r="C180" s="245"/>
    </row>
    <row r="181" spans="3:3" x14ac:dyDescent="0.25">
      <c r="C181" s="245"/>
    </row>
    <row r="182" spans="3:3" x14ac:dyDescent="0.25">
      <c r="C182" s="245"/>
    </row>
    <row r="183" spans="3:3" x14ac:dyDescent="0.25">
      <c r="C183" s="245"/>
    </row>
    <row r="184" spans="3:3" x14ac:dyDescent="0.25">
      <c r="C184" s="245"/>
    </row>
    <row r="185" spans="3:3" x14ac:dyDescent="0.25">
      <c r="C185" s="245"/>
    </row>
    <row r="186" spans="3:3" x14ac:dyDescent="0.25">
      <c r="C186" s="245"/>
    </row>
    <row r="187" spans="3:3" x14ac:dyDescent="0.25">
      <c r="C187" s="245"/>
    </row>
    <row r="188" spans="3:3" x14ac:dyDescent="0.25">
      <c r="C188" s="245"/>
    </row>
    <row r="189" spans="3:3" x14ac:dyDescent="0.25">
      <c r="C189" s="245"/>
    </row>
    <row r="190" spans="3:3" x14ac:dyDescent="0.25">
      <c r="C190" s="245"/>
    </row>
    <row r="191" spans="3:3" x14ac:dyDescent="0.25">
      <c r="C191" s="245"/>
    </row>
    <row r="192" spans="3:3" x14ac:dyDescent="0.25">
      <c r="C192" s="245"/>
    </row>
    <row r="193" spans="3:3" x14ac:dyDescent="0.25">
      <c r="C193" s="245"/>
    </row>
    <row r="194" spans="3:3" x14ac:dyDescent="0.25">
      <c r="C194" s="245"/>
    </row>
    <row r="195" spans="3:3" x14ac:dyDescent="0.25">
      <c r="C195" s="245"/>
    </row>
    <row r="196" spans="3:3" x14ac:dyDescent="0.25">
      <c r="C196" s="245"/>
    </row>
    <row r="197" spans="3:3" x14ac:dyDescent="0.25">
      <c r="C197" s="245"/>
    </row>
    <row r="198" spans="3:3" x14ac:dyDescent="0.25">
      <c r="C198" s="245"/>
    </row>
    <row r="199" spans="3:3" x14ac:dyDescent="0.25">
      <c r="C199" s="245"/>
    </row>
    <row r="200" spans="3:3" x14ac:dyDescent="0.25">
      <c r="C200" s="245"/>
    </row>
    <row r="201" spans="3:3" x14ac:dyDescent="0.25">
      <c r="C201" s="245"/>
    </row>
    <row r="202" spans="3:3" x14ac:dyDescent="0.25">
      <c r="C202" s="245"/>
    </row>
    <row r="203" spans="3:3" x14ac:dyDescent="0.25">
      <c r="C203" s="245"/>
    </row>
    <row r="204" spans="3:3" x14ac:dyDescent="0.25">
      <c r="C204" s="245"/>
    </row>
    <row r="205" spans="3:3" x14ac:dyDescent="0.25">
      <c r="C205" s="245"/>
    </row>
    <row r="206" spans="3:3" x14ac:dyDescent="0.25">
      <c r="C206" s="245"/>
    </row>
    <row r="207" spans="3:3" x14ac:dyDescent="0.25">
      <c r="C207" s="245"/>
    </row>
    <row r="208" spans="3:3" x14ac:dyDescent="0.25">
      <c r="C208" s="245"/>
    </row>
    <row r="209" spans="3:3" x14ac:dyDescent="0.25">
      <c r="C209" s="245"/>
    </row>
    <row r="210" spans="3:3" x14ac:dyDescent="0.25">
      <c r="C210" s="245"/>
    </row>
    <row r="211" spans="3:3" x14ac:dyDescent="0.25">
      <c r="C211" s="245"/>
    </row>
    <row r="212" spans="3:3" x14ac:dyDescent="0.25">
      <c r="C212" s="245"/>
    </row>
    <row r="213" spans="3:3" x14ac:dyDescent="0.25">
      <c r="C213" s="245"/>
    </row>
    <row r="214" spans="3:3" x14ac:dyDescent="0.25">
      <c r="C214" s="245"/>
    </row>
    <row r="215" spans="3:3" x14ac:dyDescent="0.25">
      <c r="C215" s="245"/>
    </row>
    <row r="216" spans="3:3" x14ac:dyDescent="0.25">
      <c r="C216" s="245"/>
    </row>
    <row r="217" spans="3:3" x14ac:dyDescent="0.25">
      <c r="C217" s="245"/>
    </row>
    <row r="218" spans="3:3" x14ac:dyDescent="0.25">
      <c r="C218" s="245"/>
    </row>
    <row r="219" spans="3:3" x14ac:dyDescent="0.25">
      <c r="C219" s="245"/>
    </row>
    <row r="220" spans="3:3" x14ac:dyDescent="0.25">
      <c r="C220" s="245"/>
    </row>
    <row r="221" spans="3:3" x14ac:dyDescent="0.25">
      <c r="C221" s="245"/>
    </row>
    <row r="222" spans="3:3" x14ac:dyDescent="0.25">
      <c r="C222" s="245"/>
    </row>
    <row r="223" spans="3:3" x14ac:dyDescent="0.25">
      <c r="C223" s="245"/>
    </row>
    <row r="224" spans="3:3" x14ac:dyDescent="0.25">
      <c r="C224" s="245"/>
    </row>
    <row r="225" spans="3:3" x14ac:dyDescent="0.25">
      <c r="C225" s="245"/>
    </row>
    <row r="226" spans="3:3" x14ac:dyDescent="0.25">
      <c r="C226" s="245"/>
    </row>
    <row r="227" spans="3:3" x14ac:dyDescent="0.25">
      <c r="C227" s="245"/>
    </row>
    <row r="228" spans="3:3" x14ac:dyDescent="0.25">
      <c r="C228" s="245"/>
    </row>
    <row r="229" spans="3:3" x14ac:dyDescent="0.25">
      <c r="C229" s="245"/>
    </row>
    <row r="230" spans="3:3" x14ac:dyDescent="0.25">
      <c r="C230" s="245"/>
    </row>
    <row r="231" spans="3:3" x14ac:dyDescent="0.25">
      <c r="C231" s="245"/>
    </row>
    <row r="232" spans="3:3" x14ac:dyDescent="0.25">
      <c r="C232" s="245"/>
    </row>
    <row r="233" spans="3:3" x14ac:dyDescent="0.25">
      <c r="C233" s="245"/>
    </row>
    <row r="234" spans="3:3" x14ac:dyDescent="0.25">
      <c r="C234" s="245"/>
    </row>
    <row r="235" spans="3:3" x14ac:dyDescent="0.25">
      <c r="C235" s="245"/>
    </row>
    <row r="236" spans="3:3" x14ac:dyDescent="0.25">
      <c r="C236" s="245"/>
    </row>
    <row r="237" spans="3:3" x14ac:dyDescent="0.25">
      <c r="C237" s="245"/>
    </row>
    <row r="238" spans="3:3" x14ac:dyDescent="0.25">
      <c r="C238" s="245"/>
    </row>
    <row r="239" spans="3:3" x14ac:dyDescent="0.25">
      <c r="C239" s="245"/>
    </row>
    <row r="240" spans="3:3" x14ac:dyDescent="0.25">
      <c r="C240" s="245"/>
    </row>
    <row r="241" spans="3:3" x14ac:dyDescent="0.25">
      <c r="C241" s="245"/>
    </row>
    <row r="242" spans="3:3" x14ac:dyDescent="0.25">
      <c r="C242" s="245"/>
    </row>
    <row r="243" spans="3:3" x14ac:dyDescent="0.25">
      <c r="C243" s="245"/>
    </row>
    <row r="244" spans="3:3" x14ac:dyDescent="0.25">
      <c r="C244" s="245"/>
    </row>
    <row r="245" spans="3:3" x14ac:dyDescent="0.25">
      <c r="C245" s="245"/>
    </row>
    <row r="246" spans="3:3" x14ac:dyDescent="0.25">
      <c r="C246" s="245"/>
    </row>
    <row r="247" spans="3:3" x14ac:dyDescent="0.25">
      <c r="C247" s="245"/>
    </row>
    <row r="248" spans="3:3" x14ac:dyDescent="0.25">
      <c r="C248" s="245"/>
    </row>
    <row r="249" spans="3:3" x14ac:dyDescent="0.25">
      <c r="C249" s="245"/>
    </row>
    <row r="250" spans="3:3" x14ac:dyDescent="0.25">
      <c r="C250" s="245"/>
    </row>
    <row r="251" spans="3:3" x14ac:dyDescent="0.25">
      <c r="C251" s="245"/>
    </row>
    <row r="252" spans="3:3" x14ac:dyDescent="0.25">
      <c r="C252" s="245"/>
    </row>
    <row r="253" spans="3:3" x14ac:dyDescent="0.25">
      <c r="C253" s="245"/>
    </row>
    <row r="254" spans="3:3" x14ac:dyDescent="0.25">
      <c r="C254" s="245"/>
    </row>
    <row r="255" spans="3:3" x14ac:dyDescent="0.25">
      <c r="C255" s="245"/>
    </row>
    <row r="256" spans="3:3" x14ac:dyDescent="0.25">
      <c r="C256" s="245"/>
    </row>
    <row r="257" spans="3:3" x14ac:dyDescent="0.25">
      <c r="C257" s="245"/>
    </row>
    <row r="258" spans="3:3" x14ac:dyDescent="0.25">
      <c r="C258" s="245"/>
    </row>
    <row r="259" spans="3:3" x14ac:dyDescent="0.25">
      <c r="C259" s="245"/>
    </row>
    <row r="260" spans="3:3" x14ac:dyDescent="0.25">
      <c r="C260" s="245"/>
    </row>
    <row r="261" spans="3:3" x14ac:dyDescent="0.25">
      <c r="C261" s="245"/>
    </row>
    <row r="262" spans="3:3" x14ac:dyDescent="0.25">
      <c r="C262" s="245"/>
    </row>
    <row r="263" spans="3:3" x14ac:dyDescent="0.25">
      <c r="C263" s="245"/>
    </row>
    <row r="264" spans="3:3" x14ac:dyDescent="0.25">
      <c r="C264" s="245"/>
    </row>
    <row r="265" spans="3:3" x14ac:dyDescent="0.25">
      <c r="C265" s="245"/>
    </row>
    <row r="266" spans="3:3" x14ac:dyDescent="0.25">
      <c r="C266" s="245"/>
    </row>
    <row r="267" spans="3:3" x14ac:dyDescent="0.25">
      <c r="C267" s="245"/>
    </row>
    <row r="268" spans="3:3" x14ac:dyDescent="0.25">
      <c r="C268" s="245"/>
    </row>
    <row r="269" spans="3:3" x14ac:dyDescent="0.25">
      <c r="C269" s="245"/>
    </row>
    <row r="270" spans="3:3" x14ac:dyDescent="0.25">
      <c r="C270" s="245"/>
    </row>
    <row r="271" spans="3:3" x14ac:dyDescent="0.25">
      <c r="C271" s="245"/>
    </row>
    <row r="272" spans="3:3" x14ac:dyDescent="0.25">
      <c r="C272" s="245"/>
    </row>
    <row r="273" spans="3:3" x14ac:dyDescent="0.25">
      <c r="C273" s="245"/>
    </row>
    <row r="274" spans="3:3" x14ac:dyDescent="0.25">
      <c r="C274" s="245"/>
    </row>
    <row r="275" spans="3:3" x14ac:dyDescent="0.25">
      <c r="C275" s="245"/>
    </row>
    <row r="276" spans="3:3" x14ac:dyDescent="0.25">
      <c r="C276" s="245"/>
    </row>
    <row r="277" spans="3:3" x14ac:dyDescent="0.25">
      <c r="C277" s="245"/>
    </row>
    <row r="278" spans="3:3" x14ac:dyDescent="0.25">
      <c r="C278" s="245"/>
    </row>
    <row r="279" spans="3:3" x14ac:dyDescent="0.25">
      <c r="C279" s="245"/>
    </row>
    <row r="280" spans="3:3" x14ac:dyDescent="0.25">
      <c r="C280" s="245"/>
    </row>
    <row r="281" spans="3:3" x14ac:dyDescent="0.25">
      <c r="C281" s="245"/>
    </row>
    <row r="282" spans="3:3" x14ac:dyDescent="0.25">
      <c r="C282" s="245"/>
    </row>
    <row r="283" spans="3:3" x14ac:dyDescent="0.25">
      <c r="C283" s="245"/>
    </row>
    <row r="284" spans="3:3" x14ac:dyDescent="0.25">
      <c r="C284" s="245"/>
    </row>
    <row r="285" spans="3:3" x14ac:dyDescent="0.25">
      <c r="C285" s="245"/>
    </row>
    <row r="286" spans="3:3" x14ac:dyDescent="0.25">
      <c r="C286" s="245"/>
    </row>
    <row r="287" spans="3:3" x14ac:dyDescent="0.25">
      <c r="C287" s="245"/>
    </row>
    <row r="288" spans="3:3" x14ac:dyDescent="0.25">
      <c r="C288" s="245"/>
    </row>
    <row r="289" spans="3:3" x14ac:dyDescent="0.25">
      <c r="C289" s="245"/>
    </row>
    <row r="290" spans="3:3" x14ac:dyDescent="0.25">
      <c r="C290" s="245"/>
    </row>
    <row r="291" spans="3:3" x14ac:dyDescent="0.25">
      <c r="C291" s="245"/>
    </row>
    <row r="292" spans="3:3" x14ac:dyDescent="0.25">
      <c r="C292" s="245"/>
    </row>
    <row r="293" spans="3:3" x14ac:dyDescent="0.25">
      <c r="C293" s="245"/>
    </row>
    <row r="294" spans="3:3" x14ac:dyDescent="0.25">
      <c r="C294" s="245"/>
    </row>
    <row r="295" spans="3:3" x14ac:dyDescent="0.25">
      <c r="C295" s="245"/>
    </row>
    <row r="296" spans="3:3" x14ac:dyDescent="0.25">
      <c r="C296" s="245"/>
    </row>
    <row r="297" spans="3:3" x14ac:dyDescent="0.25">
      <c r="C297" s="245"/>
    </row>
    <row r="298" spans="3:3" x14ac:dyDescent="0.25">
      <c r="C298" s="245"/>
    </row>
    <row r="299" spans="3:3" x14ac:dyDescent="0.25">
      <c r="C299" s="245"/>
    </row>
    <row r="300" spans="3:3" x14ac:dyDescent="0.25">
      <c r="C300" s="245"/>
    </row>
    <row r="301" spans="3:3" x14ac:dyDescent="0.25">
      <c r="C301" s="245"/>
    </row>
    <row r="302" spans="3:3" x14ac:dyDescent="0.25">
      <c r="C302" s="245"/>
    </row>
    <row r="303" spans="3:3" x14ac:dyDescent="0.25">
      <c r="C303" s="245"/>
    </row>
    <row r="304" spans="3:3" x14ac:dyDescent="0.25">
      <c r="C304" s="245"/>
    </row>
    <row r="305" spans="3:3" x14ac:dyDescent="0.25">
      <c r="C305" s="245"/>
    </row>
    <row r="306" spans="3:3" x14ac:dyDescent="0.25">
      <c r="C306" s="245"/>
    </row>
    <row r="307" spans="3:3" x14ac:dyDescent="0.25">
      <c r="C307" s="245"/>
    </row>
    <row r="308" spans="3:3" x14ac:dyDescent="0.25">
      <c r="C308" s="245"/>
    </row>
    <row r="309" spans="3:3" x14ac:dyDescent="0.25">
      <c r="C309" s="245"/>
    </row>
    <row r="310" spans="3:3" x14ac:dyDescent="0.25">
      <c r="C310" s="245"/>
    </row>
    <row r="311" spans="3:3" x14ac:dyDescent="0.25">
      <c r="C311" s="245"/>
    </row>
    <row r="312" spans="3:3" x14ac:dyDescent="0.25">
      <c r="C312" s="245"/>
    </row>
    <row r="313" spans="3:3" x14ac:dyDescent="0.25">
      <c r="C313" s="245"/>
    </row>
    <row r="314" spans="3:3" x14ac:dyDescent="0.25">
      <c r="C314" s="245"/>
    </row>
    <row r="315" spans="3:3" x14ac:dyDescent="0.25">
      <c r="C315" s="245"/>
    </row>
    <row r="316" spans="3:3" x14ac:dyDescent="0.25">
      <c r="C316" s="245"/>
    </row>
    <row r="317" spans="3:3" x14ac:dyDescent="0.25">
      <c r="C317" s="245"/>
    </row>
    <row r="318" spans="3:3" x14ac:dyDescent="0.25">
      <c r="C318" s="245"/>
    </row>
    <row r="319" spans="3:3" x14ac:dyDescent="0.25">
      <c r="C319" s="245"/>
    </row>
    <row r="320" spans="3:3" x14ac:dyDescent="0.25">
      <c r="C320" s="245"/>
    </row>
    <row r="321" spans="3:3" x14ac:dyDescent="0.25">
      <c r="C321" s="245"/>
    </row>
    <row r="322" spans="3:3" x14ac:dyDescent="0.25">
      <c r="C322" s="245"/>
    </row>
    <row r="323" spans="3:3" x14ac:dyDescent="0.25">
      <c r="C323" s="245"/>
    </row>
    <row r="324" spans="3:3" x14ac:dyDescent="0.25">
      <c r="C324" s="245"/>
    </row>
    <row r="325" spans="3:3" x14ac:dyDescent="0.25">
      <c r="C325" s="245"/>
    </row>
    <row r="326" spans="3:3" x14ac:dyDescent="0.25">
      <c r="C326" s="245"/>
    </row>
    <row r="327" spans="3:3" x14ac:dyDescent="0.25">
      <c r="C327" s="245"/>
    </row>
    <row r="328" spans="3:3" x14ac:dyDescent="0.25">
      <c r="C328" s="245"/>
    </row>
    <row r="329" spans="3:3" x14ac:dyDescent="0.25">
      <c r="C329" s="245"/>
    </row>
    <row r="330" spans="3:3" x14ac:dyDescent="0.25">
      <c r="C330" s="245"/>
    </row>
    <row r="331" spans="3:3" x14ac:dyDescent="0.25">
      <c r="C331" s="245"/>
    </row>
    <row r="332" spans="3:3" x14ac:dyDescent="0.25">
      <c r="C332" s="245"/>
    </row>
    <row r="333" spans="3:3" x14ac:dyDescent="0.25">
      <c r="C333" s="245"/>
    </row>
    <row r="334" spans="3:3" x14ac:dyDescent="0.25">
      <c r="C334" s="245"/>
    </row>
    <row r="335" spans="3:3" x14ac:dyDescent="0.25">
      <c r="C335" s="245"/>
    </row>
    <row r="336" spans="3:3" x14ac:dyDescent="0.25">
      <c r="C336" s="245"/>
    </row>
    <row r="337" spans="3:3" x14ac:dyDescent="0.25">
      <c r="C337" s="245"/>
    </row>
    <row r="338" spans="3:3" x14ac:dyDescent="0.25">
      <c r="C338" s="245"/>
    </row>
    <row r="339" spans="3:3" x14ac:dyDescent="0.25">
      <c r="C339" s="245"/>
    </row>
    <row r="340" spans="3:3" x14ac:dyDescent="0.25">
      <c r="C340" s="245"/>
    </row>
    <row r="341" spans="3:3" x14ac:dyDescent="0.25">
      <c r="C341" s="245"/>
    </row>
    <row r="342" spans="3:3" x14ac:dyDescent="0.25">
      <c r="C342" s="245"/>
    </row>
    <row r="343" spans="3:3" x14ac:dyDescent="0.25">
      <c r="C343" s="245"/>
    </row>
    <row r="344" spans="3:3" x14ac:dyDescent="0.25">
      <c r="C344" s="245"/>
    </row>
    <row r="345" spans="3:3" x14ac:dyDescent="0.25">
      <c r="C345" s="245"/>
    </row>
    <row r="346" spans="3:3" x14ac:dyDescent="0.25">
      <c r="C346" s="245"/>
    </row>
    <row r="347" spans="3:3" x14ac:dyDescent="0.25">
      <c r="C347" s="245"/>
    </row>
    <row r="348" spans="3:3" x14ac:dyDescent="0.25">
      <c r="C348" s="245"/>
    </row>
    <row r="349" spans="3:3" x14ac:dyDescent="0.25">
      <c r="C349" s="245"/>
    </row>
    <row r="350" spans="3:3" x14ac:dyDescent="0.25">
      <c r="C350" s="245"/>
    </row>
    <row r="351" spans="3:3" x14ac:dyDescent="0.25">
      <c r="C351" s="245"/>
    </row>
    <row r="352" spans="3:3" x14ac:dyDescent="0.25">
      <c r="C352" s="245"/>
    </row>
    <row r="353" spans="3:3" x14ac:dyDescent="0.25">
      <c r="C353" s="245"/>
    </row>
    <row r="354" spans="3:3" x14ac:dyDescent="0.25">
      <c r="C354" s="245"/>
    </row>
    <row r="355" spans="3:3" x14ac:dyDescent="0.25">
      <c r="C355" s="245"/>
    </row>
    <row r="356" spans="3:3" x14ac:dyDescent="0.25">
      <c r="C356" s="245"/>
    </row>
    <row r="357" spans="3:3" x14ac:dyDescent="0.25">
      <c r="C357" s="245"/>
    </row>
    <row r="358" spans="3:3" x14ac:dyDescent="0.25">
      <c r="C358" s="245"/>
    </row>
    <row r="359" spans="3:3" x14ac:dyDescent="0.25">
      <c r="C359" s="245"/>
    </row>
    <row r="360" spans="3:3" x14ac:dyDescent="0.25">
      <c r="C360" s="245"/>
    </row>
    <row r="361" spans="3:3" x14ac:dyDescent="0.25">
      <c r="C361" s="245"/>
    </row>
    <row r="362" spans="3:3" x14ac:dyDescent="0.25">
      <c r="C362" s="245"/>
    </row>
    <row r="363" spans="3:3" x14ac:dyDescent="0.25">
      <c r="C363" s="245"/>
    </row>
    <row r="364" spans="3:3" x14ac:dyDescent="0.25">
      <c r="C364" s="245"/>
    </row>
    <row r="365" spans="3:3" x14ac:dyDescent="0.25">
      <c r="C365" s="245"/>
    </row>
    <row r="366" spans="3:3" x14ac:dyDescent="0.25">
      <c r="C366" s="245"/>
    </row>
    <row r="367" spans="3:3" x14ac:dyDescent="0.25">
      <c r="C367" s="245"/>
    </row>
    <row r="368" spans="3:3" x14ac:dyDescent="0.25">
      <c r="C368" s="245"/>
    </row>
    <row r="369" spans="3:3" x14ac:dyDescent="0.25">
      <c r="C369" s="245"/>
    </row>
    <row r="370" spans="3:3" x14ac:dyDescent="0.25">
      <c r="C370" s="245"/>
    </row>
    <row r="371" spans="3:3" x14ac:dyDescent="0.25">
      <c r="C371" s="245"/>
    </row>
    <row r="372" spans="3:3" x14ac:dyDescent="0.25">
      <c r="C372" s="245"/>
    </row>
    <row r="373" spans="3:3" x14ac:dyDescent="0.25">
      <c r="C373" s="245"/>
    </row>
    <row r="374" spans="3:3" x14ac:dyDescent="0.25">
      <c r="C374" s="245"/>
    </row>
    <row r="375" spans="3:3" x14ac:dyDescent="0.25">
      <c r="C375" s="245"/>
    </row>
    <row r="376" spans="3:3" x14ac:dyDescent="0.25">
      <c r="C376" s="245"/>
    </row>
    <row r="377" spans="3:3" x14ac:dyDescent="0.25">
      <c r="C377" s="245"/>
    </row>
    <row r="378" spans="3:3" x14ac:dyDescent="0.25">
      <c r="C378" s="245"/>
    </row>
    <row r="379" spans="3:3" x14ac:dyDescent="0.25">
      <c r="C379" s="245"/>
    </row>
    <row r="380" spans="3:3" x14ac:dyDescent="0.25">
      <c r="C380" s="245"/>
    </row>
    <row r="381" spans="3:3" x14ac:dyDescent="0.25">
      <c r="C381" s="245"/>
    </row>
    <row r="382" spans="3:3" x14ac:dyDescent="0.25">
      <c r="C382" s="245"/>
    </row>
    <row r="383" spans="3:3" x14ac:dyDescent="0.25">
      <c r="C383" s="245"/>
    </row>
    <row r="384" spans="3:3" x14ac:dyDescent="0.25">
      <c r="C384" s="245"/>
    </row>
    <row r="385" spans="3:3" x14ac:dyDescent="0.25">
      <c r="C385" s="245"/>
    </row>
    <row r="386" spans="3:3" x14ac:dyDescent="0.25">
      <c r="C386" s="245"/>
    </row>
    <row r="387" spans="3:3" x14ac:dyDescent="0.25">
      <c r="C387" s="245"/>
    </row>
    <row r="388" spans="3:3" x14ac:dyDescent="0.25">
      <c r="C388" s="245"/>
    </row>
    <row r="389" spans="3:3" x14ac:dyDescent="0.25">
      <c r="C389" s="245"/>
    </row>
    <row r="390" spans="3:3" x14ac:dyDescent="0.25">
      <c r="C390" s="245"/>
    </row>
    <row r="391" spans="3:3" x14ac:dyDescent="0.25">
      <c r="C391" s="245"/>
    </row>
    <row r="392" spans="3:3" x14ac:dyDescent="0.25">
      <c r="C392" s="245"/>
    </row>
    <row r="393" spans="3:3" x14ac:dyDescent="0.25">
      <c r="C393" s="245"/>
    </row>
    <row r="394" spans="3:3" x14ac:dyDescent="0.25">
      <c r="C394" s="245"/>
    </row>
    <row r="395" spans="3:3" x14ac:dyDescent="0.25">
      <c r="C395" s="245"/>
    </row>
    <row r="396" spans="3:3" x14ac:dyDescent="0.25">
      <c r="C396" s="245"/>
    </row>
    <row r="397" spans="3:3" x14ac:dyDescent="0.25">
      <c r="C397" s="245"/>
    </row>
    <row r="398" spans="3:3" x14ac:dyDescent="0.25">
      <c r="C398" s="245"/>
    </row>
    <row r="399" spans="3:3" x14ac:dyDescent="0.25">
      <c r="C399" s="245"/>
    </row>
    <row r="400" spans="3:3" x14ac:dyDescent="0.25">
      <c r="C400" s="245"/>
    </row>
    <row r="401" spans="3:3" x14ac:dyDescent="0.25">
      <c r="C401" s="245"/>
    </row>
    <row r="402" spans="3:3" x14ac:dyDescent="0.25">
      <c r="C402" s="245"/>
    </row>
    <row r="403" spans="3:3" x14ac:dyDescent="0.25">
      <c r="C403" s="245"/>
    </row>
    <row r="404" spans="3:3" x14ac:dyDescent="0.25">
      <c r="C404" s="245"/>
    </row>
    <row r="405" spans="3:3" x14ac:dyDescent="0.25">
      <c r="C405" s="245"/>
    </row>
    <row r="406" spans="3:3" x14ac:dyDescent="0.25">
      <c r="C406" s="245"/>
    </row>
    <row r="407" spans="3:3" x14ac:dyDescent="0.25">
      <c r="C407" s="245"/>
    </row>
    <row r="408" spans="3:3" x14ac:dyDescent="0.25">
      <c r="C408" s="245"/>
    </row>
    <row r="409" spans="3:3" x14ac:dyDescent="0.25">
      <c r="C409" s="245"/>
    </row>
    <row r="410" spans="3:3" x14ac:dyDescent="0.25">
      <c r="C410" s="245"/>
    </row>
    <row r="411" spans="3:3" x14ac:dyDescent="0.25">
      <c r="C411" s="245"/>
    </row>
    <row r="412" spans="3:3" x14ac:dyDescent="0.25">
      <c r="C412" s="245"/>
    </row>
    <row r="413" spans="3:3" x14ac:dyDescent="0.25">
      <c r="C413" s="245"/>
    </row>
    <row r="414" spans="3:3" x14ac:dyDescent="0.25">
      <c r="C414" s="245"/>
    </row>
    <row r="415" spans="3:3" x14ac:dyDescent="0.25">
      <c r="C415" s="245"/>
    </row>
    <row r="416" spans="3:3" x14ac:dyDescent="0.25">
      <c r="C416" s="245"/>
    </row>
    <row r="417" spans="3:3" x14ac:dyDescent="0.25">
      <c r="C417" s="245"/>
    </row>
    <row r="418" spans="3:3" x14ac:dyDescent="0.25">
      <c r="C418" s="245"/>
    </row>
    <row r="419" spans="3:3" x14ac:dyDescent="0.25">
      <c r="C419" s="245"/>
    </row>
    <row r="420" spans="3:3" x14ac:dyDescent="0.25">
      <c r="C420" s="245"/>
    </row>
    <row r="421" spans="3:3" x14ac:dyDescent="0.25">
      <c r="C421" s="245"/>
    </row>
    <row r="422" spans="3:3" x14ac:dyDescent="0.25">
      <c r="C422" s="245"/>
    </row>
    <row r="423" spans="3:3" x14ac:dyDescent="0.25">
      <c r="C423" s="245"/>
    </row>
    <row r="424" spans="3:3" x14ac:dyDescent="0.25">
      <c r="C424" s="245"/>
    </row>
    <row r="425" spans="3:3" x14ac:dyDescent="0.25">
      <c r="C425" s="245"/>
    </row>
    <row r="426" spans="3:3" x14ac:dyDescent="0.25">
      <c r="C426" s="245"/>
    </row>
    <row r="427" spans="3:3" x14ac:dyDescent="0.25">
      <c r="C427" s="245"/>
    </row>
    <row r="428" spans="3:3" x14ac:dyDescent="0.25">
      <c r="C428" s="245"/>
    </row>
    <row r="429" spans="3:3" x14ac:dyDescent="0.25">
      <c r="C429" s="245"/>
    </row>
    <row r="430" spans="3:3" x14ac:dyDescent="0.25">
      <c r="C430" s="245"/>
    </row>
    <row r="431" spans="3:3" x14ac:dyDescent="0.25">
      <c r="C431" s="245"/>
    </row>
    <row r="432" spans="3:3" x14ac:dyDescent="0.25">
      <c r="C432" s="245"/>
    </row>
    <row r="433" spans="3:3" x14ac:dyDescent="0.25">
      <c r="C433" s="245"/>
    </row>
    <row r="434" spans="3:3" x14ac:dyDescent="0.25">
      <c r="C434" s="245"/>
    </row>
    <row r="435" spans="3:3" x14ac:dyDescent="0.25">
      <c r="C435" s="245"/>
    </row>
    <row r="436" spans="3:3" x14ac:dyDescent="0.25">
      <c r="C436" s="245"/>
    </row>
    <row r="437" spans="3:3" x14ac:dyDescent="0.25">
      <c r="C437" s="245"/>
    </row>
    <row r="438" spans="3:3" x14ac:dyDescent="0.25">
      <c r="C438" s="245"/>
    </row>
    <row r="439" spans="3:3" x14ac:dyDescent="0.25">
      <c r="C439" s="245"/>
    </row>
    <row r="440" spans="3:3" x14ac:dyDescent="0.25">
      <c r="C440" s="245"/>
    </row>
    <row r="441" spans="3:3" x14ac:dyDescent="0.25">
      <c r="C441" s="245"/>
    </row>
    <row r="442" spans="3:3" x14ac:dyDescent="0.25">
      <c r="C442" s="245"/>
    </row>
    <row r="443" spans="3:3" x14ac:dyDescent="0.25">
      <c r="C443" s="245"/>
    </row>
    <row r="444" spans="3:3" x14ac:dyDescent="0.25">
      <c r="C444" s="245"/>
    </row>
    <row r="445" spans="3:3" x14ac:dyDescent="0.25">
      <c r="C445" s="245"/>
    </row>
    <row r="446" spans="3:3" x14ac:dyDescent="0.25">
      <c r="C446" s="245"/>
    </row>
    <row r="447" spans="3:3" x14ac:dyDescent="0.25">
      <c r="C447" s="245"/>
    </row>
    <row r="448" spans="3:3" x14ac:dyDescent="0.25">
      <c r="C448" s="245"/>
    </row>
    <row r="449" spans="3:3" x14ac:dyDescent="0.25">
      <c r="C449" s="245"/>
    </row>
    <row r="450" spans="3:3" x14ac:dyDescent="0.25">
      <c r="C450" s="245"/>
    </row>
    <row r="451" spans="3:3" x14ac:dyDescent="0.25">
      <c r="C451" s="245"/>
    </row>
    <row r="452" spans="3:3" x14ac:dyDescent="0.25">
      <c r="C452" s="245"/>
    </row>
    <row r="453" spans="3:3" x14ac:dyDescent="0.25">
      <c r="C453" s="245"/>
    </row>
    <row r="454" spans="3:3" x14ac:dyDescent="0.25">
      <c r="C454" s="245"/>
    </row>
    <row r="455" spans="3:3" x14ac:dyDescent="0.25">
      <c r="C455" s="245"/>
    </row>
    <row r="456" spans="3:3" x14ac:dyDescent="0.25">
      <c r="C456" s="245"/>
    </row>
    <row r="457" spans="3:3" x14ac:dyDescent="0.25">
      <c r="C457" s="245"/>
    </row>
    <row r="458" spans="3:3" x14ac:dyDescent="0.25">
      <c r="C458" s="245"/>
    </row>
    <row r="459" spans="3:3" x14ac:dyDescent="0.25">
      <c r="C459" s="245"/>
    </row>
    <row r="460" spans="3:3" x14ac:dyDescent="0.25">
      <c r="C460" s="245"/>
    </row>
    <row r="461" spans="3:3" x14ac:dyDescent="0.25">
      <c r="C461" s="245"/>
    </row>
    <row r="462" spans="3:3" x14ac:dyDescent="0.25">
      <c r="C462" s="245"/>
    </row>
    <row r="463" spans="3:3" x14ac:dyDescent="0.25">
      <c r="C463" s="245"/>
    </row>
    <row r="464" spans="3:3" x14ac:dyDescent="0.25">
      <c r="C464" s="245"/>
    </row>
    <row r="465" spans="3:3" x14ac:dyDescent="0.25">
      <c r="C465" s="245"/>
    </row>
    <row r="466" spans="3:3" x14ac:dyDescent="0.25">
      <c r="C466" s="245"/>
    </row>
    <row r="467" spans="3:3" x14ac:dyDescent="0.25">
      <c r="C467" s="245"/>
    </row>
    <row r="468" spans="3:3" x14ac:dyDescent="0.25">
      <c r="C468" s="245"/>
    </row>
    <row r="469" spans="3:3" x14ac:dyDescent="0.25">
      <c r="C469" s="245"/>
    </row>
    <row r="470" spans="3:3" x14ac:dyDescent="0.25">
      <c r="C470" s="245"/>
    </row>
    <row r="471" spans="3:3" x14ac:dyDescent="0.25">
      <c r="C471" s="245"/>
    </row>
    <row r="472" spans="3:3" x14ac:dyDescent="0.25">
      <c r="C472" s="245"/>
    </row>
    <row r="473" spans="3:3" x14ac:dyDescent="0.25">
      <c r="C473" s="245"/>
    </row>
    <row r="474" spans="3:3" x14ac:dyDescent="0.25">
      <c r="C474" s="245"/>
    </row>
    <row r="475" spans="3:3" x14ac:dyDescent="0.25">
      <c r="C475" s="245"/>
    </row>
    <row r="476" spans="3:3" x14ac:dyDescent="0.25">
      <c r="C476" s="245"/>
    </row>
    <row r="477" spans="3:3" x14ac:dyDescent="0.25">
      <c r="C477" s="245"/>
    </row>
    <row r="478" spans="3:3" x14ac:dyDescent="0.25">
      <c r="C478" s="245"/>
    </row>
    <row r="479" spans="3:3" x14ac:dyDescent="0.25">
      <c r="C479" s="245"/>
    </row>
    <row r="480" spans="3:3" x14ac:dyDescent="0.25">
      <c r="C480" s="245"/>
    </row>
    <row r="481" spans="3:3" x14ac:dyDescent="0.25">
      <c r="C481" s="245"/>
    </row>
    <row r="482" spans="3:3" x14ac:dyDescent="0.25">
      <c r="C482" s="245"/>
    </row>
    <row r="483" spans="3:3" x14ac:dyDescent="0.25">
      <c r="C483" s="245"/>
    </row>
    <row r="484" spans="3:3" x14ac:dyDescent="0.25">
      <c r="C484" s="245"/>
    </row>
    <row r="485" spans="3:3" x14ac:dyDescent="0.25">
      <c r="C485" s="245"/>
    </row>
    <row r="486" spans="3:3" x14ac:dyDescent="0.25">
      <c r="C486" s="245"/>
    </row>
    <row r="487" spans="3:3" x14ac:dyDescent="0.25">
      <c r="C487" s="245"/>
    </row>
    <row r="488" spans="3:3" x14ac:dyDescent="0.25">
      <c r="C488" s="245"/>
    </row>
    <row r="489" spans="3:3" x14ac:dyDescent="0.25">
      <c r="C489" s="245"/>
    </row>
    <row r="490" spans="3:3" x14ac:dyDescent="0.25">
      <c r="C490" s="245"/>
    </row>
    <row r="491" spans="3:3" x14ac:dyDescent="0.25">
      <c r="C491" s="245"/>
    </row>
    <row r="492" spans="3:3" x14ac:dyDescent="0.25">
      <c r="C492" s="245"/>
    </row>
    <row r="493" spans="3:3" x14ac:dyDescent="0.25">
      <c r="C493" s="245"/>
    </row>
    <row r="494" spans="3:3" x14ac:dyDescent="0.25">
      <c r="C494" s="245"/>
    </row>
    <row r="495" spans="3:3" x14ac:dyDescent="0.25">
      <c r="C495" s="245"/>
    </row>
    <row r="496" spans="3:3" x14ac:dyDescent="0.25">
      <c r="C496" s="245"/>
    </row>
    <row r="497" spans="3:3" x14ac:dyDescent="0.25">
      <c r="C497" s="245"/>
    </row>
    <row r="498" spans="3:3" x14ac:dyDescent="0.25">
      <c r="C498" s="245"/>
    </row>
    <row r="499" spans="3:3" x14ac:dyDescent="0.25">
      <c r="C499" s="245"/>
    </row>
    <row r="500" spans="3:3" x14ac:dyDescent="0.25">
      <c r="C500" s="245"/>
    </row>
    <row r="501" spans="3:3" x14ac:dyDescent="0.25">
      <c r="C501" s="245"/>
    </row>
    <row r="502" spans="3:3" x14ac:dyDescent="0.25">
      <c r="C502" s="245"/>
    </row>
    <row r="503" spans="3:3" x14ac:dyDescent="0.25">
      <c r="C503" s="245"/>
    </row>
    <row r="504" spans="3:3" x14ac:dyDescent="0.25">
      <c r="C504" s="245"/>
    </row>
    <row r="505" spans="3:3" x14ac:dyDescent="0.25">
      <c r="C505" s="245"/>
    </row>
    <row r="506" spans="3:3" x14ac:dyDescent="0.25">
      <c r="C506" s="245"/>
    </row>
    <row r="507" spans="3:3" x14ac:dyDescent="0.25">
      <c r="C507" s="245"/>
    </row>
    <row r="508" spans="3:3" x14ac:dyDescent="0.25">
      <c r="C508" s="245"/>
    </row>
    <row r="509" spans="3:3" x14ac:dyDescent="0.25">
      <c r="C509" s="245"/>
    </row>
    <row r="510" spans="3:3" x14ac:dyDescent="0.25">
      <c r="C510" s="245"/>
    </row>
    <row r="511" spans="3:3" x14ac:dyDescent="0.25">
      <c r="C511" s="245"/>
    </row>
    <row r="512" spans="3:3" x14ac:dyDescent="0.25">
      <c r="C512" s="245"/>
    </row>
    <row r="513" spans="3:3" x14ac:dyDescent="0.25">
      <c r="C513" s="245"/>
    </row>
    <row r="514" spans="3:3" x14ac:dyDescent="0.25">
      <c r="C514" s="245"/>
    </row>
    <row r="515" spans="3:3" x14ac:dyDescent="0.25">
      <c r="C515" s="245"/>
    </row>
    <row r="516" spans="3:3" x14ac:dyDescent="0.25">
      <c r="C516" s="245"/>
    </row>
    <row r="517" spans="3:3" x14ac:dyDescent="0.25">
      <c r="C517" s="245"/>
    </row>
    <row r="518" spans="3:3" x14ac:dyDescent="0.25">
      <c r="C518" s="245"/>
    </row>
    <row r="519" spans="3:3" x14ac:dyDescent="0.25">
      <c r="C519" s="245"/>
    </row>
    <row r="520" spans="3:3" x14ac:dyDescent="0.25">
      <c r="C520" s="245"/>
    </row>
    <row r="521" spans="3:3" x14ac:dyDescent="0.25">
      <c r="C521" s="245"/>
    </row>
    <row r="522" spans="3:3" x14ac:dyDescent="0.25">
      <c r="C522" s="245"/>
    </row>
    <row r="523" spans="3:3" x14ac:dyDescent="0.25">
      <c r="C523" s="245"/>
    </row>
    <row r="524" spans="3:3" x14ac:dyDescent="0.25">
      <c r="C524" s="245"/>
    </row>
    <row r="525" spans="3:3" x14ac:dyDescent="0.25">
      <c r="C525" s="245"/>
    </row>
    <row r="526" spans="3:3" x14ac:dyDescent="0.25">
      <c r="C526" s="245"/>
    </row>
    <row r="527" spans="3:3" x14ac:dyDescent="0.25">
      <c r="C527" s="245"/>
    </row>
    <row r="528" spans="3:3" x14ac:dyDescent="0.25">
      <c r="C528" s="245"/>
    </row>
    <row r="529" spans="3:3" x14ac:dyDescent="0.25">
      <c r="C529" s="245"/>
    </row>
    <row r="530" spans="3:3" x14ac:dyDescent="0.25">
      <c r="C530" s="245"/>
    </row>
    <row r="531" spans="3:3" x14ac:dyDescent="0.25">
      <c r="C531" s="245"/>
    </row>
    <row r="532" spans="3:3" x14ac:dyDescent="0.25">
      <c r="C532" s="245"/>
    </row>
    <row r="533" spans="3:3" x14ac:dyDescent="0.25">
      <c r="C533" s="245"/>
    </row>
    <row r="534" spans="3:3" x14ac:dyDescent="0.25">
      <c r="C534" s="245"/>
    </row>
    <row r="535" spans="3:3" x14ac:dyDescent="0.25">
      <c r="C535" s="245"/>
    </row>
    <row r="536" spans="3:3" x14ac:dyDescent="0.25">
      <c r="C536" s="245"/>
    </row>
    <row r="537" spans="3:3" x14ac:dyDescent="0.25">
      <c r="C537" s="245"/>
    </row>
    <row r="538" spans="3:3" x14ac:dyDescent="0.25">
      <c r="C538" s="245"/>
    </row>
    <row r="539" spans="3:3" x14ac:dyDescent="0.25">
      <c r="C539" s="245"/>
    </row>
    <row r="540" spans="3:3" x14ac:dyDescent="0.25">
      <c r="C540" s="245"/>
    </row>
    <row r="541" spans="3:3" x14ac:dyDescent="0.25">
      <c r="C541" s="245"/>
    </row>
    <row r="542" spans="3:3" x14ac:dyDescent="0.25">
      <c r="C542" s="245"/>
    </row>
    <row r="543" spans="3:3" x14ac:dyDescent="0.25">
      <c r="C543" s="245"/>
    </row>
    <row r="544" spans="3:3" x14ac:dyDescent="0.25">
      <c r="C544" s="245"/>
    </row>
    <row r="545" spans="3:3" x14ac:dyDescent="0.25">
      <c r="C545" s="245"/>
    </row>
    <row r="546" spans="3:3" x14ac:dyDescent="0.25">
      <c r="C546" s="245"/>
    </row>
    <row r="547" spans="3:3" x14ac:dyDescent="0.25">
      <c r="C547" s="245"/>
    </row>
    <row r="548" spans="3:3" x14ac:dyDescent="0.25">
      <c r="C548" s="245"/>
    </row>
    <row r="549" spans="3:3" x14ac:dyDescent="0.25">
      <c r="C549" s="245"/>
    </row>
    <row r="550" spans="3:3" x14ac:dyDescent="0.25">
      <c r="C550" s="245"/>
    </row>
    <row r="551" spans="3:3" x14ac:dyDescent="0.25">
      <c r="C551" s="245"/>
    </row>
    <row r="552" spans="3:3" x14ac:dyDescent="0.25">
      <c r="C552" s="245"/>
    </row>
    <row r="553" spans="3:3" x14ac:dyDescent="0.25">
      <c r="C553" s="245"/>
    </row>
    <row r="554" spans="3:3" x14ac:dyDescent="0.25">
      <c r="C554" s="245"/>
    </row>
    <row r="555" spans="3:3" x14ac:dyDescent="0.25">
      <c r="C555" s="245"/>
    </row>
    <row r="556" spans="3:3" x14ac:dyDescent="0.25">
      <c r="C556" s="245"/>
    </row>
    <row r="557" spans="3:3" x14ac:dyDescent="0.25">
      <c r="C557" s="245"/>
    </row>
    <row r="558" spans="3:3" x14ac:dyDescent="0.25">
      <c r="C558" s="245"/>
    </row>
    <row r="559" spans="3:3" x14ac:dyDescent="0.25">
      <c r="C559" s="245"/>
    </row>
  </sheetData>
  <sheetProtection algorithmName="SHA-512" hashValue="6tnnwK7cP7QNmiimUhy9xvkd8pG0Jj3nhvE+aMDIfWFiGrL+elQBjia9RmFkYKgdTUNCr6xQneH1C8GSV/TzPA==" saltValue="UihStAFTW0aHenTQeBb/7g==" spinCount="100000" sheet="1" objects="1" scenarios="1" selectLockedCells="1"/>
  <mergeCells count="2">
    <mergeCell ref="C6:H6"/>
    <mergeCell ref="J6:K6"/>
  </mergeCells>
  <conditionalFormatting sqref="K9:K50">
    <cfRule type="dataBar" priority="2">
      <dataBar>
        <cfvo type="min"/>
        <cfvo type="max"/>
        <color rgb="FF638EC6"/>
      </dataBar>
      <extLst>
        <ext xmlns:x14="http://schemas.microsoft.com/office/spreadsheetml/2009/9/main" uri="{B025F937-C7B1-47D3-B67F-A62EFF666E3E}">
          <x14:id>{794E2B5D-073A-460C-A766-FD0B4EFA3E5E}</x14:id>
        </ext>
      </extLst>
    </cfRule>
  </conditionalFormatting>
  <pageMargins left="0.7" right="0.7" top="0.75" bottom="0.75" header="0.3" footer="0.3"/>
  <pageSetup paperSize="3" scale="76" fitToHeight="0" orientation="landscape" r:id="rId1"/>
  <ignoredErrors>
    <ignoredError sqref="G37 G40 G43 H25:I25 H37:I37 H40:I40 H43:I43 K25 K37 K40 K43" formula="1"/>
  </ignoredErrors>
  <legacyDrawingHF r:id="rId2"/>
  <extLst>
    <ext xmlns:x14="http://schemas.microsoft.com/office/spreadsheetml/2009/9/main" uri="{78C0D931-6437-407d-A8EE-F0AAD7539E65}">
      <x14:conditionalFormattings>
        <x14:conditionalFormatting xmlns:xm="http://schemas.microsoft.com/office/excel/2006/main">
          <x14:cfRule type="dataBar" id="{794E2B5D-073A-460C-A766-FD0B4EFA3E5E}">
            <x14:dataBar minLength="0" maxLength="100" border="1" negativeBarBorderColorSameAsPositive="0">
              <x14:cfvo type="autoMin"/>
              <x14:cfvo type="autoMax"/>
              <x14:borderColor rgb="FF638EC6"/>
              <x14:negativeFillColor theme="6" tint="-0.249977111117893"/>
              <x14:negativeBorderColor theme="6" tint="-0.249977111117893"/>
              <x14:axisColor rgb="FF000000"/>
            </x14:dataBar>
          </x14:cfRule>
          <xm:sqref>K9:K50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59999389629810485"/>
    <pageSetUpPr fitToPage="1"/>
  </sheetPr>
  <dimension ref="A1:K80"/>
  <sheetViews>
    <sheetView showGridLines="0" tabSelected="1" zoomScale="90" zoomScaleNormal="90" zoomScaleSheetLayoutView="85" workbookViewId="0">
      <selection activeCell="E27" sqref="E27"/>
    </sheetView>
  </sheetViews>
  <sheetFormatPr baseColWidth="10" defaultColWidth="9.140625" defaultRowHeight="14.25" x14ac:dyDescent="0.2"/>
  <cols>
    <col min="1" max="1" width="3.7109375" style="35" customWidth="1"/>
    <col min="2" max="2" width="56.42578125" style="3" customWidth="1"/>
    <col min="3" max="3" width="34.5703125" style="3" customWidth="1"/>
    <col min="4" max="4" width="24.140625" style="3" customWidth="1"/>
    <col min="5" max="5" width="26.85546875" style="35" customWidth="1"/>
    <col min="6" max="6" width="26.85546875" style="3" customWidth="1"/>
    <col min="7" max="7" width="18" style="3" bestFit="1" customWidth="1"/>
    <col min="8" max="8" width="19.5703125" style="3" bestFit="1" customWidth="1"/>
    <col min="9" max="9" width="21.140625" style="3" customWidth="1"/>
    <col min="10" max="10" width="12.42578125" style="3" bestFit="1" customWidth="1"/>
    <col min="11" max="16384" width="9.140625" style="3"/>
  </cols>
  <sheetData>
    <row r="1" spans="1:11" s="5" customFormat="1" ht="15.75" thickBot="1" x14ac:dyDescent="0.3">
      <c r="A1" s="36"/>
      <c r="B1" s="4" t="s">
        <v>0</v>
      </c>
      <c r="E1" s="36"/>
    </row>
    <row r="2" spans="1:11" x14ac:dyDescent="0.2">
      <c r="B2" s="2"/>
      <c r="C2" s="2"/>
    </row>
    <row r="3" spans="1:11" ht="15.75" thickBot="1" x14ac:dyDescent="0.25">
      <c r="B3" s="355" t="s">
        <v>97</v>
      </c>
      <c r="C3" s="356"/>
      <c r="J3" s="37"/>
    </row>
    <row r="4" spans="1:11" s="35" customFormat="1" ht="15" thickTop="1" x14ac:dyDescent="0.2">
      <c r="B4" s="410" t="s">
        <v>52</v>
      </c>
      <c r="C4" s="254">
        <v>2021</v>
      </c>
      <c r="J4" s="37"/>
    </row>
    <row r="5" spans="1:11" x14ac:dyDescent="0.2">
      <c r="B5" s="410" t="s">
        <v>51</v>
      </c>
      <c r="C5" s="255" t="s">
        <v>219</v>
      </c>
      <c r="J5" s="37"/>
    </row>
    <row r="6" spans="1:11" x14ac:dyDescent="0.2">
      <c r="B6" s="411" t="s">
        <v>53</v>
      </c>
      <c r="C6" s="256">
        <v>2020</v>
      </c>
      <c r="J6" s="37"/>
    </row>
    <row r="7" spans="1:11" ht="18.75" customHeight="1" x14ac:dyDescent="0.2">
      <c r="C7" s="257"/>
      <c r="J7" s="37"/>
    </row>
    <row r="8" spans="1:11" ht="15" x14ac:dyDescent="0.25">
      <c r="B8" s="457" t="s">
        <v>72</v>
      </c>
      <c r="C8" s="571"/>
      <c r="D8" s="458"/>
      <c r="E8" s="662"/>
      <c r="F8" s="662"/>
      <c r="G8" s="662"/>
      <c r="K8" s="37"/>
    </row>
    <row r="9" spans="1:11" s="35" customFormat="1" ht="15.75" customHeight="1" x14ac:dyDescent="0.2">
      <c r="B9" s="459" t="str">
        <f>"Coûts nets déclarés par les municipalités " &amp;AnnéeRéf</f>
        <v>Coûts nets déclarés par les municipalités 2020</v>
      </c>
      <c r="C9" s="572"/>
      <c r="D9" s="460">
        <v>231745156</v>
      </c>
      <c r="E9" s="449" t="s">
        <v>160</v>
      </c>
      <c r="F9" s="351"/>
      <c r="G9" s="351"/>
      <c r="K9" s="37"/>
    </row>
    <row r="10" spans="1:11" ht="15.75" customHeight="1" x14ac:dyDescent="0.2">
      <c r="B10" s="410" t="s">
        <v>220</v>
      </c>
      <c r="C10" s="575">
        <v>-6.4500000000000002E-2</v>
      </c>
      <c r="D10" s="588">
        <v>-15007561.939999999</v>
      </c>
      <c r="E10" s="449"/>
      <c r="F10" s="351"/>
      <c r="G10" s="351"/>
      <c r="K10" s="37"/>
    </row>
    <row r="11" spans="1:11" s="35" customFormat="1" ht="15.75" customHeight="1" x14ac:dyDescent="0.2">
      <c r="B11" s="410" t="s">
        <v>221</v>
      </c>
      <c r="C11" s="577">
        <f>MontantPE/CoûtsNetsDéclarés</f>
        <v>-0.10159753807324455</v>
      </c>
      <c r="D11" s="588">
        <v>-23544737.309999999</v>
      </c>
      <c r="E11" s="449" t="s">
        <v>160</v>
      </c>
      <c r="F11" s="396"/>
      <c r="G11" s="396"/>
      <c r="K11" s="37"/>
    </row>
    <row r="12" spans="1:11" ht="15.75" customHeight="1" x14ac:dyDescent="0.2">
      <c r="B12" s="410" t="s">
        <v>222</v>
      </c>
      <c r="C12" s="577"/>
      <c r="D12" s="588">
        <v>963185.29</v>
      </c>
      <c r="E12" s="465" t="s">
        <v>140</v>
      </c>
      <c r="F12" s="486"/>
      <c r="G12" s="486"/>
      <c r="K12" s="37"/>
    </row>
    <row r="13" spans="1:11" ht="15.75" customHeight="1" x14ac:dyDescent="0.2">
      <c r="B13" s="410" t="s">
        <v>104</v>
      </c>
      <c r="C13" s="577">
        <v>8.5500000000000007E-2</v>
      </c>
      <c r="D13" s="588">
        <f>PourcFraisMun*(CoûtsNetsDéclarés+MontantMatOrphelines+MontantPE+D12)</f>
        <v>16600341.594420001</v>
      </c>
      <c r="E13" s="465" t="s">
        <v>141</v>
      </c>
      <c r="F13" s="486"/>
      <c r="G13" s="486"/>
      <c r="K13" s="37"/>
    </row>
    <row r="14" spans="1:11" ht="15.75" customHeight="1" x14ac:dyDescent="0.2">
      <c r="B14" s="412" t="s">
        <v>103</v>
      </c>
      <c r="C14" s="573"/>
      <c r="D14" s="590">
        <v>1</v>
      </c>
      <c r="E14" s="659"/>
      <c r="F14" s="659"/>
      <c r="G14" s="659"/>
      <c r="K14" s="37"/>
    </row>
    <row r="15" spans="1:11" s="35" customFormat="1" ht="15.75" customHeight="1" x14ac:dyDescent="0.2">
      <c r="B15" s="410" t="s">
        <v>223</v>
      </c>
      <c r="C15" s="576">
        <f>PartCoutImprimés+PartCoutContenants</f>
        <v>0.93499999999999994</v>
      </c>
      <c r="D15" s="588">
        <f>197030418.17</f>
        <v>197030418.16999999</v>
      </c>
      <c r="E15" s="449" t="s">
        <v>139</v>
      </c>
      <c r="F15" s="351"/>
      <c r="G15" s="351"/>
      <c r="K15" s="37"/>
    </row>
    <row r="16" spans="1:11" ht="15.75" customHeight="1" x14ac:dyDescent="0.2">
      <c r="B16" s="410" t="s">
        <v>137</v>
      </c>
      <c r="C16" s="530"/>
      <c r="D16" s="348">
        <v>13463863.6</v>
      </c>
      <c r="E16" s="449" t="s">
        <v>138</v>
      </c>
      <c r="F16" s="351"/>
      <c r="G16" s="351"/>
      <c r="K16" s="37"/>
    </row>
    <row r="17" spans="2:11" ht="15.75" customHeight="1" x14ac:dyDescent="0.2">
      <c r="B17" s="410" t="s">
        <v>105</v>
      </c>
      <c r="C17" s="530"/>
      <c r="D17" s="587">
        <v>0.02</v>
      </c>
      <c r="E17" s="659"/>
      <c r="F17" s="659"/>
      <c r="G17" s="659"/>
      <c r="K17" s="37"/>
    </row>
    <row r="18" spans="2:11" ht="15.75" customHeight="1" x14ac:dyDescent="0.2">
      <c r="B18" s="410" t="s">
        <v>63</v>
      </c>
      <c r="C18" s="530"/>
      <c r="D18" s="347">
        <v>6000000</v>
      </c>
      <c r="E18" s="659"/>
      <c r="F18" s="659"/>
      <c r="G18" s="659"/>
      <c r="K18" s="37"/>
    </row>
    <row r="19" spans="2:11" ht="15.75" customHeight="1" x14ac:dyDescent="0.2">
      <c r="B19" s="410" t="s">
        <v>106</v>
      </c>
      <c r="C19" s="530"/>
      <c r="D19" s="347"/>
      <c r="E19" s="455"/>
      <c r="F19" s="397"/>
      <c r="G19" s="397"/>
      <c r="H19" s="143"/>
      <c r="I19" s="143"/>
      <c r="J19" s="143"/>
      <c r="K19" s="37"/>
    </row>
    <row r="20" spans="2:11" s="35" customFormat="1" ht="15.75" customHeight="1" x14ac:dyDescent="0.2">
      <c r="B20" s="410" t="s">
        <v>2</v>
      </c>
      <c r="C20" s="530"/>
      <c r="D20" s="456">
        <v>0.02</v>
      </c>
      <c r="E20" s="449"/>
      <c r="F20" s="397"/>
      <c r="G20" s="397"/>
      <c r="H20" s="143"/>
      <c r="I20" s="143"/>
      <c r="J20" s="143"/>
      <c r="K20" s="37"/>
    </row>
    <row r="21" spans="2:11" ht="20.25" customHeight="1" x14ac:dyDescent="0.2">
      <c r="B21" s="411" t="s">
        <v>165</v>
      </c>
      <c r="C21" s="574"/>
      <c r="D21" s="419">
        <v>-2850000</v>
      </c>
      <c r="J21" s="37"/>
    </row>
    <row r="22" spans="2:11" x14ac:dyDescent="0.2">
      <c r="C22" s="257"/>
      <c r="D22" s="346"/>
      <c r="J22" s="37"/>
    </row>
    <row r="23" spans="2:11" ht="15.75" thickBot="1" x14ac:dyDescent="0.3">
      <c r="B23" s="357" t="s">
        <v>54</v>
      </c>
      <c r="C23" s="358"/>
      <c r="D23" s="346"/>
      <c r="J23" s="37"/>
    </row>
    <row r="24" spans="2:11" ht="15" thickTop="1" x14ac:dyDescent="0.2">
      <c r="B24" s="410" t="s">
        <v>101</v>
      </c>
      <c r="C24" s="590">
        <v>0.4</v>
      </c>
      <c r="D24" s="346"/>
      <c r="J24" s="37"/>
    </row>
    <row r="25" spans="2:11" x14ac:dyDescent="0.2">
      <c r="B25" s="410" t="s">
        <v>102</v>
      </c>
      <c r="C25" s="590">
        <v>0.4</v>
      </c>
      <c r="D25" s="346"/>
      <c r="J25" s="37"/>
    </row>
    <row r="26" spans="2:11" x14ac:dyDescent="0.2">
      <c r="B26" s="410" t="s">
        <v>100</v>
      </c>
      <c r="C26" s="590">
        <v>0.2</v>
      </c>
      <c r="D26" s="346"/>
      <c r="J26" s="37"/>
    </row>
    <row r="27" spans="2:11" ht="21" customHeight="1" x14ac:dyDescent="0.2">
      <c r="B27" s="413" t="s">
        <v>45</v>
      </c>
      <c r="C27" s="246">
        <v>1</v>
      </c>
      <c r="D27" s="346"/>
      <c r="J27" s="37"/>
    </row>
    <row r="28" spans="2:11" x14ac:dyDescent="0.2">
      <c r="C28" s="257"/>
      <c r="D28" s="346"/>
      <c r="J28" s="37"/>
    </row>
    <row r="29" spans="2:11" ht="15.75" thickBot="1" x14ac:dyDescent="0.3">
      <c r="B29" s="359" t="s">
        <v>3</v>
      </c>
      <c r="C29" s="358"/>
      <c r="D29" s="346"/>
      <c r="J29" s="37"/>
    </row>
    <row r="30" spans="2:11" ht="15" thickTop="1" x14ac:dyDescent="0.2">
      <c r="B30" s="410" t="s">
        <v>1</v>
      </c>
      <c r="C30" s="349">
        <v>0.20699999999999999</v>
      </c>
      <c r="D30" s="350"/>
      <c r="J30" s="37"/>
    </row>
    <row r="31" spans="2:11" ht="19.5" customHeight="1" x14ac:dyDescent="0.2">
      <c r="B31" s="413" t="s">
        <v>4</v>
      </c>
      <c r="C31" s="578">
        <v>0.72799999999999998</v>
      </c>
      <c r="D31" s="350"/>
      <c r="J31" s="37"/>
    </row>
    <row r="32" spans="2:11" x14ac:dyDescent="0.2">
      <c r="C32" s="257"/>
      <c r="D32" s="346"/>
      <c r="J32" s="37"/>
    </row>
    <row r="33" spans="2:9" ht="15" customHeight="1" thickBot="1" x14ac:dyDescent="0.3">
      <c r="B33" s="357" t="s">
        <v>6</v>
      </c>
      <c r="C33" s="358"/>
      <c r="D33" s="346"/>
    </row>
    <row r="34" spans="2:9" ht="15" thickTop="1" x14ac:dyDescent="0.2">
      <c r="B34" s="414" t="s">
        <v>98</v>
      </c>
      <c r="C34" s="591">
        <v>0.05</v>
      </c>
      <c r="D34" s="377"/>
      <c r="F34" s="35"/>
    </row>
    <row r="35" spans="2:9" ht="20.25" customHeight="1" x14ac:dyDescent="0.2">
      <c r="B35" s="415" t="s">
        <v>99</v>
      </c>
      <c r="C35" s="592">
        <v>0.2</v>
      </c>
      <c r="D35" s="377"/>
      <c r="G35" s="275"/>
    </row>
    <row r="36" spans="2:9" x14ac:dyDescent="0.2">
      <c r="B36" s="7"/>
      <c r="C36" s="258"/>
      <c r="D36" s="346"/>
      <c r="F36" s="276"/>
    </row>
    <row r="37" spans="2:9" ht="15.75" thickBot="1" x14ac:dyDescent="0.3">
      <c r="B37" s="359" t="s">
        <v>64</v>
      </c>
      <c r="C37" s="360"/>
      <c r="D37" s="346"/>
      <c r="F37" s="276"/>
      <c r="G37" s="277"/>
    </row>
    <row r="38" spans="2:9" ht="15" thickTop="1" x14ac:dyDescent="0.2">
      <c r="B38" s="410" t="s">
        <v>94</v>
      </c>
      <c r="C38" s="348"/>
      <c r="D38" s="352"/>
      <c r="E38" s="663"/>
      <c r="F38" s="663"/>
      <c r="G38" s="663"/>
      <c r="H38" s="663"/>
      <c r="I38" s="663"/>
    </row>
    <row r="39" spans="2:9" x14ac:dyDescent="0.2">
      <c r="B39" s="410" t="s">
        <v>95</v>
      </c>
      <c r="C39" s="435">
        <v>0</v>
      </c>
      <c r="D39" s="377"/>
      <c r="E39" s="663"/>
      <c r="F39" s="663"/>
      <c r="G39" s="663"/>
      <c r="H39" s="663"/>
      <c r="I39" s="663"/>
    </row>
    <row r="40" spans="2:9" s="35" customFormat="1" ht="15" x14ac:dyDescent="0.25">
      <c r="B40" s="416" t="s">
        <v>144</v>
      </c>
      <c r="C40" s="417"/>
      <c r="D40" s="143"/>
      <c r="E40" s="409"/>
      <c r="F40" s="409"/>
      <c r="G40" s="409"/>
      <c r="H40" s="409"/>
      <c r="I40" s="409"/>
    </row>
    <row r="41" spans="2:9" s="35" customFormat="1" x14ac:dyDescent="0.2">
      <c r="B41" s="418" t="s">
        <v>145</v>
      </c>
      <c r="C41" s="347">
        <v>0</v>
      </c>
      <c r="D41" s="436"/>
      <c r="E41" s="409"/>
      <c r="F41" s="409"/>
      <c r="G41" s="409"/>
      <c r="H41" s="409"/>
      <c r="I41" s="409"/>
    </row>
    <row r="42" spans="2:9" s="35" customFormat="1" x14ac:dyDescent="0.2">
      <c r="B42" s="410" t="s">
        <v>1</v>
      </c>
      <c r="C42" s="347">
        <v>0</v>
      </c>
      <c r="D42" s="143"/>
      <c r="E42" s="409"/>
      <c r="F42" s="409"/>
      <c r="G42" s="409"/>
      <c r="H42" s="409"/>
      <c r="I42" s="409"/>
    </row>
    <row r="43" spans="2:9" s="35" customFormat="1" x14ac:dyDescent="0.2">
      <c r="B43" s="411" t="s">
        <v>4</v>
      </c>
      <c r="C43" s="419">
        <v>0</v>
      </c>
      <c r="D43" s="143"/>
      <c r="E43" s="521"/>
      <c r="F43" s="521"/>
      <c r="G43" s="521"/>
      <c r="H43" s="521"/>
      <c r="I43" s="521"/>
    </row>
    <row r="44" spans="2:9" s="35" customFormat="1" ht="27.75" customHeight="1" x14ac:dyDescent="0.2">
      <c r="B44" s="530"/>
      <c r="C44" s="531"/>
      <c r="D44" s="143"/>
      <c r="E44" s="521"/>
      <c r="F44" s="521"/>
      <c r="G44" s="521"/>
      <c r="H44" s="521"/>
      <c r="I44" s="521"/>
    </row>
    <row r="45" spans="2:9" x14ac:dyDescent="0.2">
      <c r="B45" s="530" t="s">
        <v>203</v>
      </c>
      <c r="C45" s="589">
        <v>0.5</v>
      </c>
      <c r="D45" s="143"/>
      <c r="E45" s="568"/>
      <c r="F45" s="568"/>
    </row>
    <row r="46" spans="2:9" ht="15" thickBot="1" x14ac:dyDescent="0.25">
      <c r="F46" s="276"/>
    </row>
    <row r="47" spans="2:9" ht="15" x14ac:dyDescent="0.25">
      <c r="C47" s="660" t="s">
        <v>224</v>
      </c>
      <c r="D47" s="661"/>
      <c r="E47" s="3"/>
      <c r="F47" s="276"/>
    </row>
    <row r="48" spans="2:9" ht="30.75" thickBot="1" x14ac:dyDescent="0.25">
      <c r="B48" s="490" t="s">
        <v>146</v>
      </c>
      <c r="C48" s="167" t="s">
        <v>178</v>
      </c>
      <c r="D48" s="167" t="s">
        <v>179</v>
      </c>
      <c r="E48" s="167" t="s">
        <v>180</v>
      </c>
      <c r="F48" s="237" t="s">
        <v>194</v>
      </c>
    </row>
    <row r="49" spans="2:6" ht="15" thickTop="1" x14ac:dyDescent="0.2">
      <c r="B49" s="491" t="s">
        <v>7</v>
      </c>
      <c r="C49" s="492">
        <v>213.01237353598685</v>
      </c>
      <c r="D49" s="492">
        <v>69.564234705408097</v>
      </c>
      <c r="E49" s="493"/>
      <c r="F49" s="494"/>
    </row>
    <row r="50" spans="2:6" x14ac:dyDescent="0.2">
      <c r="B50" s="495" t="s">
        <v>8</v>
      </c>
      <c r="C50" s="488">
        <v>210.33372711045467</v>
      </c>
      <c r="D50" s="488">
        <v>65.637157231767873</v>
      </c>
      <c r="E50" s="489"/>
      <c r="F50" s="496"/>
    </row>
    <row r="51" spans="2:6" x14ac:dyDescent="0.2">
      <c r="B51" s="495" t="s">
        <v>5</v>
      </c>
      <c r="C51" s="488">
        <v>208.06579350908441</v>
      </c>
      <c r="D51" s="488">
        <v>68.609800395828401</v>
      </c>
      <c r="E51" s="489"/>
      <c r="F51" s="496"/>
    </row>
    <row r="52" spans="2:6" x14ac:dyDescent="0.2">
      <c r="B52" s="495" t="s">
        <v>9</v>
      </c>
      <c r="C52" s="488">
        <v>209.60382448981511</v>
      </c>
      <c r="D52" s="488">
        <v>64.87730069098059</v>
      </c>
      <c r="E52" s="489"/>
      <c r="F52" s="496"/>
    </row>
    <row r="53" spans="2:6" x14ac:dyDescent="0.2">
      <c r="B53" s="495" t="s">
        <v>11</v>
      </c>
      <c r="C53" s="488">
        <v>212.65751376560254</v>
      </c>
      <c r="D53" s="488">
        <v>64.612659554051106</v>
      </c>
      <c r="E53" s="489"/>
      <c r="F53" s="496"/>
    </row>
    <row r="54" spans="2:6" x14ac:dyDescent="0.2">
      <c r="B54" s="495" t="s">
        <v>10</v>
      </c>
      <c r="C54" s="488">
        <v>199.2953539390646</v>
      </c>
      <c r="D54" s="488">
        <v>56.001442197631327</v>
      </c>
      <c r="E54" s="489"/>
      <c r="F54" s="496"/>
    </row>
    <row r="55" spans="2:6" x14ac:dyDescent="0.2">
      <c r="B55" s="495" t="s">
        <v>12</v>
      </c>
      <c r="C55" s="488">
        <v>278.38570446687663</v>
      </c>
      <c r="D55" s="488">
        <v>86.352955609169825</v>
      </c>
      <c r="E55" s="489"/>
      <c r="F55" s="496"/>
    </row>
    <row r="56" spans="2:6" x14ac:dyDescent="0.2">
      <c r="B56" s="495" t="s">
        <v>121</v>
      </c>
      <c r="C56" s="488">
        <v>278.38570446687663</v>
      </c>
      <c r="D56" s="488">
        <v>86.352955609169825</v>
      </c>
      <c r="E56" s="489"/>
      <c r="F56" s="496"/>
    </row>
    <row r="57" spans="2:6" x14ac:dyDescent="0.2">
      <c r="B57" s="495" t="s">
        <v>108</v>
      </c>
      <c r="C57" s="488">
        <v>278.38570446687663</v>
      </c>
      <c r="D57" s="488">
        <v>86.352955609169825</v>
      </c>
      <c r="E57" s="489"/>
      <c r="F57" s="496"/>
    </row>
    <row r="58" spans="2:6" x14ac:dyDescent="0.2">
      <c r="B58" s="495" t="s">
        <v>13</v>
      </c>
      <c r="C58" s="488">
        <v>254.31634894760487</v>
      </c>
      <c r="D58" s="488">
        <v>67.188258888818027</v>
      </c>
      <c r="E58" s="489"/>
      <c r="F58" s="496"/>
    </row>
    <row r="59" spans="2:6" x14ac:dyDescent="0.2">
      <c r="B59" s="495" t="s">
        <v>14</v>
      </c>
      <c r="C59" s="488">
        <v>279.37555733501847</v>
      </c>
      <c r="D59" s="488">
        <v>62.63356136693244</v>
      </c>
      <c r="E59" s="489"/>
      <c r="F59" s="496"/>
    </row>
    <row r="60" spans="2:6" x14ac:dyDescent="0.2">
      <c r="B60" s="495" t="s">
        <v>15</v>
      </c>
      <c r="C60" s="488">
        <v>294.4157819747079</v>
      </c>
      <c r="D60" s="488">
        <v>30.532988275193137</v>
      </c>
      <c r="E60" s="489"/>
      <c r="F60" s="496"/>
    </row>
    <row r="61" spans="2:6" x14ac:dyDescent="0.2">
      <c r="B61" s="495" t="s">
        <v>16</v>
      </c>
      <c r="C61" s="488">
        <v>282.06334093912164</v>
      </c>
      <c r="D61" s="488">
        <v>54.290309037935479</v>
      </c>
      <c r="E61" s="489"/>
      <c r="F61" s="496"/>
    </row>
    <row r="62" spans="2:6" x14ac:dyDescent="0.2">
      <c r="B62" s="495" t="s">
        <v>24</v>
      </c>
      <c r="C62" s="488">
        <v>485.58227755221094</v>
      </c>
      <c r="D62" s="488">
        <v>243.16636648701947</v>
      </c>
      <c r="E62" s="489"/>
      <c r="F62" s="496"/>
    </row>
    <row r="63" spans="2:6" x14ac:dyDescent="0.2">
      <c r="B63" s="495" t="s">
        <v>238</v>
      </c>
      <c r="C63" s="488">
        <v>423.77927263218061</v>
      </c>
      <c r="D63" s="488">
        <v>343.42774011939889</v>
      </c>
      <c r="E63" s="489"/>
      <c r="F63" s="496"/>
    </row>
    <row r="64" spans="2:6" x14ac:dyDescent="0.2">
      <c r="B64" s="495" t="s">
        <v>23</v>
      </c>
      <c r="C64" s="488">
        <v>564.98976183310936</v>
      </c>
      <c r="D64" s="488">
        <v>-56.983486765191337</v>
      </c>
      <c r="E64" s="489"/>
      <c r="F64" s="496"/>
    </row>
    <row r="65" spans="2:6" x14ac:dyDescent="0.2">
      <c r="B65" s="495" t="s">
        <v>25</v>
      </c>
      <c r="C65" s="488">
        <v>587.80400427291488</v>
      </c>
      <c r="D65" s="488">
        <v>-6.0704036765635694</v>
      </c>
      <c r="E65" s="489"/>
      <c r="F65" s="496"/>
    </row>
    <row r="66" spans="2:6" x14ac:dyDescent="0.2">
      <c r="B66" s="495" t="s">
        <v>187</v>
      </c>
      <c r="C66" s="488">
        <v>587.80400427291488</v>
      </c>
      <c r="D66" s="488">
        <v>-6.0704036765635694</v>
      </c>
      <c r="E66" s="489"/>
      <c r="F66" s="496"/>
    </row>
    <row r="67" spans="2:6" x14ac:dyDescent="0.2">
      <c r="B67" s="495" t="s">
        <v>152</v>
      </c>
      <c r="C67" s="488">
        <v>2107.1480041836717</v>
      </c>
      <c r="D67" s="488">
        <v>-27.388529188881876</v>
      </c>
      <c r="E67" s="489"/>
      <c r="F67" s="496"/>
    </row>
    <row r="68" spans="2:6" x14ac:dyDescent="0.2">
      <c r="B68" s="495" t="s">
        <v>153</v>
      </c>
      <c r="C68" s="488">
        <v>2107.1480041836717</v>
      </c>
      <c r="D68" s="488">
        <v>-27.388529188881876</v>
      </c>
      <c r="E68" s="489"/>
      <c r="F68" s="496"/>
    </row>
    <row r="69" spans="2:6" x14ac:dyDescent="0.2">
      <c r="B69" s="495" t="s">
        <v>26</v>
      </c>
      <c r="C69" s="488">
        <v>421.65758123833888</v>
      </c>
      <c r="D69" s="488">
        <v>3.2881730068444437</v>
      </c>
      <c r="E69" s="489"/>
      <c r="F69" s="496"/>
    </row>
    <row r="70" spans="2:6" x14ac:dyDescent="0.2">
      <c r="B70" s="495" t="s">
        <v>122</v>
      </c>
      <c r="C70" s="488">
        <v>403.74260967105903</v>
      </c>
      <c r="D70" s="488">
        <v>34.09974362793097</v>
      </c>
      <c r="E70" s="489"/>
      <c r="F70" s="496"/>
    </row>
    <row r="71" spans="2:6" x14ac:dyDescent="0.2">
      <c r="B71" s="495" t="s">
        <v>188</v>
      </c>
      <c r="C71" s="488">
        <v>504.28305820922424</v>
      </c>
      <c r="D71" s="488">
        <v>225.12933377023276</v>
      </c>
      <c r="E71" s="489"/>
      <c r="F71" s="496"/>
    </row>
    <row r="72" spans="2:6" x14ac:dyDescent="0.2">
      <c r="B72" s="495" t="s">
        <v>231</v>
      </c>
      <c r="C72" s="488">
        <v>387.48795659841801</v>
      </c>
      <c r="D72" s="488">
        <v>80.5</v>
      </c>
      <c r="E72" s="489"/>
      <c r="F72" s="496"/>
    </row>
    <row r="73" spans="2:6" x14ac:dyDescent="0.2">
      <c r="B73" s="495" t="s">
        <v>186</v>
      </c>
      <c r="C73" s="488">
        <v>487.37291073022038</v>
      </c>
      <c r="D73" s="488">
        <v>619.94436211496202</v>
      </c>
      <c r="E73" s="489"/>
      <c r="F73" s="496"/>
    </row>
    <row r="74" spans="2:6" x14ac:dyDescent="0.2">
      <c r="B74" s="495" t="s">
        <v>21</v>
      </c>
      <c r="C74" s="488">
        <v>438.10204187717375</v>
      </c>
      <c r="D74" s="488">
        <v>416.27482029640657</v>
      </c>
      <c r="E74" s="489"/>
      <c r="F74" s="496"/>
    </row>
    <row r="75" spans="2:6" x14ac:dyDescent="0.2">
      <c r="B75" s="495" t="s">
        <v>185</v>
      </c>
      <c r="C75" s="488">
        <v>247.73301928789681</v>
      </c>
      <c r="D75" s="488">
        <v>220.4214274716486</v>
      </c>
      <c r="E75" s="489"/>
      <c r="F75" s="496"/>
    </row>
    <row r="76" spans="2:6" x14ac:dyDescent="0.2">
      <c r="B76" s="495" t="s">
        <v>20</v>
      </c>
      <c r="C76" s="488">
        <v>267.14340795673553</v>
      </c>
      <c r="D76" s="488">
        <v>193.72461469381176</v>
      </c>
      <c r="E76" s="489"/>
      <c r="F76" s="496"/>
    </row>
    <row r="77" spans="2:6" x14ac:dyDescent="0.2">
      <c r="B77" s="495" t="s">
        <v>18</v>
      </c>
      <c r="C77" s="488">
        <v>177.24199976861934</v>
      </c>
      <c r="D77" s="488">
        <v>-25.679460854742036</v>
      </c>
      <c r="E77" s="489">
        <v>258289.31814834653</v>
      </c>
      <c r="F77" s="496"/>
    </row>
    <row r="78" spans="2:6" x14ac:dyDescent="0.2">
      <c r="B78" s="495" t="s">
        <v>19</v>
      </c>
      <c r="C78" s="488">
        <v>177.82919091545182</v>
      </c>
      <c r="D78" s="488">
        <v>-26.749130807779906</v>
      </c>
      <c r="E78" s="489">
        <v>339009.65158190171</v>
      </c>
      <c r="F78" s="496"/>
    </row>
    <row r="79" spans="2:6" x14ac:dyDescent="0.2">
      <c r="B79" s="637" t="s">
        <v>239</v>
      </c>
      <c r="C79" s="497">
        <v>184.98</v>
      </c>
      <c r="D79" s="497">
        <v>-57.51</v>
      </c>
      <c r="E79" s="655">
        <v>2701.0302697517204</v>
      </c>
      <c r="F79" s="638"/>
    </row>
    <row r="80" spans="2:6" x14ac:dyDescent="0.2">
      <c r="B80" s="102"/>
    </row>
  </sheetData>
  <sheetProtection algorithmName="SHA-512" hashValue="ZNdpNmhcvQezwLzpCV7tpmnfhDXvyYkkXXhWaAHwO/P1LqFZwnAayhqQuklxwPJizcMsYriLUUmuyctsaT+87Q==" saltValue="NUJVpengVEpkH4Tv7/stzw==" spinCount="100000" sheet="1" objects="1" scenarios="1" selectLockedCells="1"/>
  <mergeCells count="6">
    <mergeCell ref="E14:G14"/>
    <mergeCell ref="C47:D47"/>
    <mergeCell ref="E8:G8"/>
    <mergeCell ref="E17:G17"/>
    <mergeCell ref="E18:G18"/>
    <mergeCell ref="E38:I39"/>
  </mergeCells>
  <pageMargins left="0.7" right="0.7" top="0.75" bottom="0.75" header="0.3" footer="0.3"/>
  <pageSetup scale="50" fitToHeight="0" orientation="landscape" r:id="rId1"/>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tint="0.59999389629810485"/>
    <pageSetUpPr fitToPage="1"/>
  </sheetPr>
  <dimension ref="A1:K46"/>
  <sheetViews>
    <sheetView showGridLines="0" zoomScale="90" zoomScaleNormal="90" zoomScaleSheetLayoutView="90" workbookViewId="0">
      <pane xSplit="3" ySplit="5" topLeftCell="D6" activePane="bottomRight" state="frozen"/>
      <selection pane="topRight" activeCell="D1" sqref="D1"/>
      <selection pane="bottomLeft" activeCell="A6" sqref="A6"/>
      <selection pane="bottomRight" activeCell="F41" sqref="F41"/>
    </sheetView>
  </sheetViews>
  <sheetFormatPr baseColWidth="10" defaultColWidth="9.140625" defaultRowHeight="14.25" x14ac:dyDescent="0.2"/>
  <cols>
    <col min="1" max="1" width="2.28515625" style="35" customWidth="1"/>
    <col min="2" max="2" width="16.42578125" style="3" customWidth="1"/>
    <col min="3" max="3" width="55.42578125" style="3" bestFit="1" customWidth="1"/>
    <col min="4" max="4" width="15.85546875" style="3" customWidth="1"/>
    <col min="5" max="5" width="20.140625" style="3" bestFit="1" customWidth="1"/>
    <col min="6" max="6" width="18.85546875" style="3" customWidth="1"/>
    <col min="7" max="16384" width="9.140625" style="3"/>
  </cols>
  <sheetData>
    <row r="1" spans="1:11" s="35" customFormat="1" x14ac:dyDescent="0.2"/>
    <row r="2" spans="1:11" s="5" customFormat="1" ht="15.75" thickBot="1" x14ac:dyDescent="0.3">
      <c r="A2" s="36"/>
      <c r="B2" s="4" t="s">
        <v>230</v>
      </c>
    </row>
    <row r="3" spans="1:11" s="7" customFormat="1" x14ac:dyDescent="0.2">
      <c r="A3" s="37"/>
      <c r="B3" s="281"/>
      <c r="C3" s="281"/>
      <c r="D3" s="281"/>
    </row>
    <row r="4" spans="1:11" ht="40.5" customHeight="1" x14ac:dyDescent="0.2">
      <c r="B4" s="665" t="s">
        <v>161</v>
      </c>
      <c r="C4" s="666"/>
      <c r="D4" s="666"/>
      <c r="E4" s="666"/>
    </row>
    <row r="5" spans="1:11" ht="45" x14ac:dyDescent="0.2">
      <c r="B5" s="262" t="s">
        <v>107</v>
      </c>
      <c r="C5" s="263" t="s">
        <v>34</v>
      </c>
      <c r="D5" s="264" t="s">
        <v>134</v>
      </c>
      <c r="E5" s="264" t="s">
        <v>135</v>
      </c>
    </row>
    <row r="6" spans="1:11" ht="15" x14ac:dyDescent="0.25">
      <c r="B6" s="12" t="s">
        <v>1</v>
      </c>
      <c r="C6" s="37" t="s">
        <v>7</v>
      </c>
      <c r="D6" s="361">
        <v>133</v>
      </c>
      <c r="E6" s="353">
        <v>65368143.000440225</v>
      </c>
      <c r="F6" s="439"/>
      <c r="I6"/>
      <c r="J6"/>
      <c r="K6"/>
    </row>
    <row r="7" spans="1:11" s="35" customFormat="1" ht="15" x14ac:dyDescent="0.25">
      <c r="B7" s="41" t="s">
        <v>1</v>
      </c>
      <c r="C7" s="37" t="s">
        <v>8</v>
      </c>
      <c r="D7" s="362">
        <v>167</v>
      </c>
      <c r="E7" s="354">
        <v>5387248.6891173357</v>
      </c>
      <c r="F7" s="439"/>
      <c r="I7"/>
      <c r="J7"/>
      <c r="K7"/>
    </row>
    <row r="8" spans="1:11" ht="15" x14ac:dyDescent="0.25">
      <c r="B8" s="41" t="s">
        <v>1</v>
      </c>
      <c r="C8" s="37" t="s">
        <v>5</v>
      </c>
      <c r="D8" s="362">
        <v>64</v>
      </c>
      <c r="E8" s="354">
        <v>3004658.7663678965</v>
      </c>
      <c r="F8" s="439"/>
      <c r="I8"/>
      <c r="J8"/>
      <c r="K8"/>
    </row>
    <row r="9" spans="1:11" ht="15" x14ac:dyDescent="0.25">
      <c r="B9" s="41" t="s">
        <v>1</v>
      </c>
      <c r="C9" s="37" t="s">
        <v>9</v>
      </c>
      <c r="D9" s="362">
        <v>2</v>
      </c>
      <c r="E9" s="354">
        <v>320285.64867860102</v>
      </c>
      <c r="F9" s="439"/>
      <c r="I9"/>
      <c r="J9"/>
      <c r="K9"/>
    </row>
    <row r="10" spans="1:11" ht="15" x14ac:dyDescent="0.25">
      <c r="B10" s="41" t="s">
        <v>1</v>
      </c>
      <c r="C10" s="37" t="s">
        <v>11</v>
      </c>
      <c r="D10" s="362">
        <v>124</v>
      </c>
      <c r="E10" s="354">
        <v>5107798.5018170848</v>
      </c>
      <c r="F10" s="439"/>
      <c r="I10"/>
      <c r="J10"/>
      <c r="K10"/>
    </row>
    <row r="11" spans="1:11" ht="15" x14ac:dyDescent="0.25">
      <c r="B11" s="41" t="s">
        <v>1</v>
      </c>
      <c r="C11" s="37" t="s">
        <v>10</v>
      </c>
      <c r="D11" s="362">
        <v>928</v>
      </c>
      <c r="E11" s="354">
        <v>18948096.454122569</v>
      </c>
      <c r="F11" s="439"/>
      <c r="I11"/>
      <c r="J11"/>
      <c r="K11"/>
    </row>
    <row r="12" spans="1:11" ht="15" x14ac:dyDescent="0.25">
      <c r="B12" s="41" t="s">
        <v>35</v>
      </c>
      <c r="C12" s="37" t="s">
        <v>12</v>
      </c>
      <c r="D12" s="362">
        <v>788</v>
      </c>
      <c r="E12" s="354">
        <v>58408389.376663603</v>
      </c>
      <c r="F12" s="439"/>
      <c r="I12"/>
      <c r="J12"/>
      <c r="K12"/>
    </row>
    <row r="13" spans="1:11" ht="15" x14ac:dyDescent="0.25">
      <c r="B13" s="41" t="s">
        <v>35</v>
      </c>
      <c r="C13" s="37" t="s">
        <v>121</v>
      </c>
      <c r="D13" s="362">
        <v>111</v>
      </c>
      <c r="E13" s="354">
        <v>3906120.1498596766</v>
      </c>
      <c r="F13" s="439"/>
      <c r="I13"/>
      <c r="J13"/>
      <c r="K13"/>
    </row>
    <row r="14" spans="1:11" ht="15" x14ac:dyDescent="0.25">
      <c r="B14" s="41" t="s">
        <v>35</v>
      </c>
      <c r="C14" s="37" t="s">
        <v>108</v>
      </c>
      <c r="D14" s="362">
        <v>76</v>
      </c>
      <c r="E14" s="354">
        <v>2207516.7848188286</v>
      </c>
      <c r="F14" s="439"/>
      <c r="I14"/>
      <c r="J14"/>
      <c r="K14"/>
    </row>
    <row r="15" spans="1:11" ht="15" x14ac:dyDescent="0.25">
      <c r="B15" s="41" t="s">
        <v>35</v>
      </c>
      <c r="C15" s="37" t="s">
        <v>13</v>
      </c>
      <c r="D15" s="362">
        <v>1048</v>
      </c>
      <c r="E15" s="354">
        <v>92654394.584317252</v>
      </c>
      <c r="F15" s="439"/>
      <c r="I15"/>
      <c r="J15"/>
      <c r="K15"/>
    </row>
    <row r="16" spans="1:11" ht="15" x14ac:dyDescent="0.25">
      <c r="B16" s="41" t="s">
        <v>35</v>
      </c>
      <c r="C16" s="37" t="s">
        <v>14</v>
      </c>
      <c r="D16" s="362">
        <v>62</v>
      </c>
      <c r="E16" s="354">
        <v>9680797.6499964148</v>
      </c>
      <c r="F16" s="439"/>
      <c r="I16"/>
      <c r="J16"/>
      <c r="K16"/>
    </row>
    <row r="17" spans="2:11" ht="15" x14ac:dyDescent="0.25">
      <c r="B17" s="41" t="s">
        <v>35</v>
      </c>
      <c r="C17" s="37" t="s">
        <v>15</v>
      </c>
      <c r="D17" s="362">
        <v>497</v>
      </c>
      <c r="E17" s="354">
        <v>13115506.472537529</v>
      </c>
      <c r="F17" s="439"/>
      <c r="I17"/>
      <c r="J17"/>
      <c r="K17"/>
    </row>
    <row r="18" spans="2:11" s="35" customFormat="1" ht="15" x14ac:dyDescent="0.25">
      <c r="B18" s="41" t="s">
        <v>35</v>
      </c>
      <c r="C18" s="37" t="s">
        <v>16</v>
      </c>
      <c r="D18" s="362">
        <v>58</v>
      </c>
      <c r="E18" s="354">
        <v>5539040.9655504664</v>
      </c>
      <c r="F18" s="439"/>
      <c r="I18"/>
      <c r="J18"/>
      <c r="K18"/>
    </row>
    <row r="19" spans="2:11" s="35" customFormat="1" ht="15" x14ac:dyDescent="0.25">
      <c r="B19" s="41" t="s">
        <v>22</v>
      </c>
      <c r="C19" s="37" t="s">
        <v>24</v>
      </c>
      <c r="D19" s="362">
        <v>284</v>
      </c>
      <c r="E19" s="354">
        <v>31023693.407459904</v>
      </c>
      <c r="F19" s="439"/>
      <c r="I19"/>
      <c r="J19"/>
      <c r="K19"/>
    </row>
    <row r="20" spans="2:11" s="35" customFormat="1" ht="15" x14ac:dyDescent="0.25">
      <c r="B20" s="41" t="s">
        <v>22</v>
      </c>
      <c r="C20" s="37" t="s">
        <v>238</v>
      </c>
      <c r="D20" s="362">
        <v>392</v>
      </c>
      <c r="E20" s="354">
        <v>20311442.001928408</v>
      </c>
      <c r="F20" s="439"/>
      <c r="I20"/>
      <c r="J20"/>
      <c r="K20"/>
    </row>
    <row r="21" spans="2:11" s="35" customFormat="1" ht="15" x14ac:dyDescent="0.25">
      <c r="B21" s="41" t="s">
        <v>22</v>
      </c>
      <c r="C21" s="37" t="s">
        <v>23</v>
      </c>
      <c r="D21" s="362">
        <v>561</v>
      </c>
      <c r="E21" s="354">
        <v>15885589.821965639</v>
      </c>
      <c r="F21" s="439"/>
      <c r="I21" s="429"/>
      <c r="J21"/>
      <c r="K21"/>
    </row>
    <row r="22" spans="2:11" s="35" customFormat="1" ht="15" x14ac:dyDescent="0.25">
      <c r="B22" s="41" t="s">
        <v>22</v>
      </c>
      <c r="C22" s="37" t="s">
        <v>25</v>
      </c>
      <c r="D22" s="362">
        <v>806</v>
      </c>
      <c r="E22" s="354">
        <v>20483854.094409496</v>
      </c>
      <c r="F22" s="439"/>
      <c r="I22" s="429"/>
      <c r="J22"/>
      <c r="K22"/>
    </row>
    <row r="23" spans="2:11" s="35" customFormat="1" ht="15" x14ac:dyDescent="0.25">
      <c r="B23" s="41" t="s">
        <v>22</v>
      </c>
      <c r="C23" s="37" t="s">
        <v>187</v>
      </c>
      <c r="D23" s="362">
        <v>218</v>
      </c>
      <c r="E23" s="354">
        <v>10065867.971921897</v>
      </c>
      <c r="F23" s="439"/>
      <c r="I23" s="429"/>
      <c r="J23"/>
      <c r="K23"/>
    </row>
    <row r="24" spans="2:11" s="35" customFormat="1" ht="15" x14ac:dyDescent="0.25">
      <c r="B24" s="41" t="s">
        <v>22</v>
      </c>
      <c r="C24" s="37" t="s">
        <v>152</v>
      </c>
      <c r="D24" s="362">
        <v>132</v>
      </c>
      <c r="E24" s="354">
        <v>3369379.0185358329</v>
      </c>
      <c r="F24" s="439"/>
      <c r="I24"/>
      <c r="J24"/>
      <c r="K24"/>
    </row>
    <row r="25" spans="2:11" s="35" customFormat="1" ht="15" x14ac:dyDescent="0.25">
      <c r="B25" s="41" t="s">
        <v>22</v>
      </c>
      <c r="C25" s="37" t="s">
        <v>153</v>
      </c>
      <c r="D25" s="362">
        <v>249</v>
      </c>
      <c r="E25" s="354">
        <v>1085035.0493271812</v>
      </c>
      <c r="F25" s="439"/>
      <c r="I25"/>
      <c r="J25"/>
      <c r="K25"/>
    </row>
    <row r="26" spans="2:11" s="35" customFormat="1" ht="15" x14ac:dyDescent="0.25">
      <c r="B26" s="41" t="s">
        <v>22</v>
      </c>
      <c r="C26" s="37" t="s">
        <v>26</v>
      </c>
      <c r="D26" s="362">
        <v>281</v>
      </c>
      <c r="E26" s="354">
        <v>4235371.2574967816</v>
      </c>
      <c r="F26" s="439"/>
      <c r="I26"/>
      <c r="J26"/>
      <c r="K26"/>
    </row>
    <row r="27" spans="2:11" s="35" customFormat="1" ht="15" x14ac:dyDescent="0.25">
      <c r="B27" s="41" t="s">
        <v>22</v>
      </c>
      <c r="C27" s="37" t="s">
        <v>122</v>
      </c>
      <c r="D27" s="362">
        <v>228</v>
      </c>
      <c r="E27" s="354">
        <v>8932504.6607059091</v>
      </c>
      <c r="F27" s="439"/>
      <c r="I27"/>
      <c r="J27"/>
      <c r="K27"/>
    </row>
    <row r="28" spans="2:11" ht="15" x14ac:dyDescent="0.25">
      <c r="B28" s="41" t="s">
        <v>22</v>
      </c>
      <c r="C28" s="37" t="s">
        <v>188</v>
      </c>
      <c r="D28" s="362">
        <v>133</v>
      </c>
      <c r="E28" s="354">
        <v>350810.34218859964</v>
      </c>
      <c r="F28" s="439"/>
      <c r="I28"/>
      <c r="J28"/>
      <c r="K28"/>
    </row>
    <row r="29" spans="2:11" ht="15" x14ac:dyDescent="0.25">
      <c r="B29" s="41" t="s">
        <v>22</v>
      </c>
      <c r="C29" s="37" t="s">
        <v>231</v>
      </c>
      <c r="D29" s="362">
        <v>871</v>
      </c>
      <c r="E29" s="354">
        <v>37245541.868181624</v>
      </c>
      <c r="F29" s="439"/>
      <c r="I29"/>
      <c r="J29"/>
      <c r="K29"/>
    </row>
    <row r="30" spans="2:11" ht="15" x14ac:dyDescent="0.25">
      <c r="B30" s="41" t="s">
        <v>37</v>
      </c>
      <c r="C30" s="37" t="s">
        <v>186</v>
      </c>
      <c r="D30" s="362">
        <v>114</v>
      </c>
      <c r="E30" s="354">
        <v>4037584.7045872454</v>
      </c>
      <c r="F30" s="439"/>
      <c r="I30"/>
      <c r="J30"/>
      <c r="K30"/>
    </row>
    <row r="31" spans="2:11" ht="15" x14ac:dyDescent="0.25">
      <c r="B31" s="41" t="s">
        <v>37</v>
      </c>
      <c r="C31" s="37" t="s">
        <v>21</v>
      </c>
      <c r="D31" s="362">
        <v>310</v>
      </c>
      <c r="E31" s="354">
        <v>3963257.2447693418</v>
      </c>
      <c r="F31" s="439"/>
      <c r="I31"/>
      <c r="J31"/>
      <c r="K31"/>
    </row>
    <row r="32" spans="2:11" s="35" customFormat="1" ht="15" x14ac:dyDescent="0.25">
      <c r="B32" s="41" t="s">
        <v>36</v>
      </c>
      <c r="C32" s="37" t="s">
        <v>185</v>
      </c>
      <c r="D32" s="362">
        <v>147</v>
      </c>
      <c r="E32" s="354">
        <v>1741763.8190757313</v>
      </c>
      <c r="F32" s="439"/>
      <c r="I32"/>
      <c r="J32"/>
      <c r="K32"/>
    </row>
    <row r="33" spans="2:11" s="35" customFormat="1" ht="15" x14ac:dyDescent="0.25">
      <c r="B33" s="41" t="s">
        <v>36</v>
      </c>
      <c r="C33" s="37" t="s">
        <v>20</v>
      </c>
      <c r="D33" s="362">
        <v>305</v>
      </c>
      <c r="E33" s="354">
        <v>25404030.320953608</v>
      </c>
      <c r="F33" s="439"/>
      <c r="I33"/>
      <c r="J33"/>
      <c r="K33"/>
    </row>
    <row r="34" spans="2:11" ht="15" x14ac:dyDescent="0.25">
      <c r="B34" s="41" t="s">
        <v>17</v>
      </c>
      <c r="C34" s="37" t="s">
        <v>18</v>
      </c>
      <c r="D34" s="362">
        <v>263</v>
      </c>
      <c r="E34" s="354">
        <v>64834577.775461607</v>
      </c>
      <c r="F34" s="439"/>
      <c r="I34"/>
      <c r="J34"/>
      <c r="K34"/>
    </row>
    <row r="35" spans="2:11" ht="15" x14ac:dyDescent="0.25">
      <c r="B35" s="41" t="s">
        <v>17</v>
      </c>
      <c r="C35" s="37" t="s">
        <v>19</v>
      </c>
      <c r="D35" s="362">
        <v>173</v>
      </c>
      <c r="E35" s="354">
        <v>85096618.853198588</v>
      </c>
      <c r="F35" s="439"/>
      <c r="I35"/>
      <c r="J35"/>
      <c r="K35"/>
    </row>
    <row r="36" spans="2:11" ht="15" x14ac:dyDescent="0.25">
      <c r="B36" s="41" t="s">
        <v>17</v>
      </c>
      <c r="C36" s="37" t="s">
        <v>239</v>
      </c>
      <c r="D36" s="639">
        <v>3</v>
      </c>
      <c r="E36" s="640">
        <v>678000</v>
      </c>
      <c r="F36" s="439"/>
      <c r="I36"/>
    </row>
    <row r="37" spans="2:11" ht="15.75" thickBot="1" x14ac:dyDescent="0.3">
      <c r="B37" s="344" t="s">
        <v>39</v>
      </c>
      <c r="C37" s="13" t="s">
        <v>38</v>
      </c>
      <c r="D37" s="253">
        <f>SUM(D6:D36)</f>
        <v>9528</v>
      </c>
      <c r="E37" s="252">
        <f>SUM(E6:E36)</f>
        <v>622392919.25645494</v>
      </c>
      <c r="I37"/>
    </row>
    <row r="38" spans="2:11" ht="48" customHeight="1" thickTop="1" x14ac:dyDescent="0.25">
      <c r="I38"/>
    </row>
    <row r="39" spans="2:11" ht="15" x14ac:dyDescent="0.25">
      <c r="B39" s="664" t="s">
        <v>136</v>
      </c>
      <c r="C39" s="664"/>
      <c r="D39" s="664"/>
      <c r="E39" s="664"/>
      <c r="I39"/>
    </row>
    <row r="40" spans="2:11" ht="15" x14ac:dyDescent="0.25">
      <c r="I40"/>
    </row>
    <row r="41" spans="2:11" ht="15" x14ac:dyDescent="0.25">
      <c r="I41"/>
    </row>
    <row r="42" spans="2:11" ht="15" x14ac:dyDescent="0.25">
      <c r="E42" s="430"/>
      <c r="I42"/>
    </row>
    <row r="43" spans="2:11" ht="15" x14ac:dyDescent="0.25">
      <c r="E43" s="430"/>
      <c r="I43"/>
    </row>
    <row r="44" spans="2:11" ht="15" x14ac:dyDescent="0.25">
      <c r="D44" s="35"/>
      <c r="E44" s="431"/>
      <c r="I44"/>
    </row>
    <row r="45" spans="2:11" ht="15" x14ac:dyDescent="0.25">
      <c r="D45" s="35"/>
      <c r="E45" s="431"/>
      <c r="I45"/>
    </row>
    <row r="46" spans="2:11" ht="15" x14ac:dyDescent="0.25">
      <c r="D46" s="35"/>
      <c r="I46"/>
    </row>
  </sheetData>
  <sheetProtection algorithmName="SHA-512" hashValue="XEu5s9Ynkjyqlj9JHK17jMa+r/EDbk30RXt8G2Nh/BHeXbR5zm9RUlcKbUENuQrplRJCuPfh0legbpk+k0GSOA==" saltValue="EzPKKTWg3/xT/CNtllka3g==" spinCount="100000" sheet="1" objects="1" scenarios="1" selectLockedCells="1"/>
  <mergeCells count="2">
    <mergeCell ref="B39:E39"/>
    <mergeCell ref="B4:E4"/>
  </mergeCells>
  <pageMargins left="0.7" right="0.7" top="0.75" bottom="0.75" header="0.3" footer="0.3"/>
  <pageSetup fitToHeight="0"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tint="0.59999389629810485"/>
    <pageSetUpPr fitToPage="1"/>
  </sheetPr>
  <dimension ref="A1:C37"/>
  <sheetViews>
    <sheetView showGridLines="0" zoomScaleNormal="100" zoomScaleSheetLayoutView="70" workbookViewId="0">
      <pane xSplit="2" ySplit="6" topLeftCell="C7" activePane="bottomRight" state="frozen"/>
      <selection pane="topRight" activeCell="C1" sqref="C1"/>
      <selection pane="bottomLeft" activeCell="A3" sqref="A3"/>
      <selection pane="bottomRight" activeCell="C37" sqref="C37"/>
    </sheetView>
  </sheetViews>
  <sheetFormatPr baseColWidth="10" defaultColWidth="9.140625" defaultRowHeight="15" x14ac:dyDescent="0.25"/>
  <cols>
    <col min="1" max="1" width="2.28515625" style="451" customWidth="1"/>
    <col min="2" max="2" width="54" style="451" customWidth="1"/>
    <col min="3" max="3" width="19.140625" style="450" customWidth="1"/>
    <col min="4" max="4" width="21.85546875" style="450" bestFit="1" customWidth="1"/>
    <col min="5" max="6" width="19.140625" style="450" customWidth="1"/>
    <col min="7" max="7" width="53" style="450" customWidth="1"/>
    <col min="8" max="8" width="3.7109375" style="450" customWidth="1"/>
    <col min="9" max="9" width="35.42578125" style="450" bestFit="1" customWidth="1"/>
    <col min="10" max="10" width="53.85546875" style="450" bestFit="1" customWidth="1"/>
    <col min="11" max="13" width="22.140625" style="450" customWidth="1"/>
    <col min="14" max="14" width="26.28515625" style="450" customWidth="1"/>
    <col min="15" max="15" width="17.140625" style="450" customWidth="1"/>
    <col min="16" max="16" width="13.42578125" style="450" customWidth="1"/>
    <col min="17" max="16384" width="9.140625" style="450"/>
  </cols>
  <sheetData>
    <row r="1" spans="2:3" ht="6.75" customHeight="1" x14ac:dyDescent="0.25"/>
    <row r="2" spans="2:3" x14ac:dyDescent="0.25">
      <c r="B2" s="451" t="s">
        <v>225</v>
      </c>
    </row>
    <row r="3" spans="2:3" x14ac:dyDescent="0.25">
      <c r="B3" s="487"/>
    </row>
    <row r="4" spans="2:3" x14ac:dyDescent="0.25">
      <c r="B4" s="487"/>
    </row>
    <row r="5" spans="2:3" x14ac:dyDescent="0.25">
      <c r="C5" s="579"/>
    </row>
    <row r="6" spans="2:3" x14ac:dyDescent="0.25">
      <c r="B6" s="452" t="s">
        <v>123</v>
      </c>
      <c r="C6" s="453" t="s">
        <v>162</v>
      </c>
    </row>
    <row r="7" spans="2:3" x14ac:dyDescent="0.25">
      <c r="B7" t="s">
        <v>7</v>
      </c>
      <c r="C7" s="429">
        <v>0.85143897600219509</v>
      </c>
    </row>
    <row r="8" spans="2:3" x14ac:dyDescent="0.25">
      <c r="B8" t="s">
        <v>8</v>
      </c>
      <c r="C8" s="429">
        <v>0.82438875588137628</v>
      </c>
    </row>
    <row r="9" spans="2:3" x14ac:dyDescent="0.25">
      <c r="B9" t="s">
        <v>5</v>
      </c>
      <c r="C9" s="429">
        <v>0.85636517498742648</v>
      </c>
    </row>
    <row r="10" spans="2:3" x14ac:dyDescent="0.25">
      <c r="B10" t="s">
        <v>9</v>
      </c>
      <c r="C10" s="429">
        <v>0.81559800350261658</v>
      </c>
    </row>
    <row r="11" spans="2:3" x14ac:dyDescent="0.25">
      <c r="B11" t="s">
        <v>11</v>
      </c>
      <c r="C11" s="429">
        <v>0.56804325984359205</v>
      </c>
    </row>
    <row r="12" spans="2:3" x14ac:dyDescent="0.25">
      <c r="B12" t="s">
        <v>10</v>
      </c>
      <c r="C12" s="429">
        <v>0.62351467895075041</v>
      </c>
    </row>
    <row r="13" spans="2:3" x14ac:dyDescent="0.25">
      <c r="B13" t="s">
        <v>12</v>
      </c>
      <c r="C13" s="429">
        <v>0.77485620867703564</v>
      </c>
    </row>
    <row r="14" spans="2:3" x14ac:dyDescent="0.25">
      <c r="B14" t="s">
        <v>121</v>
      </c>
      <c r="C14" s="429">
        <v>0.41252037898804161</v>
      </c>
    </row>
    <row r="15" spans="2:3" x14ac:dyDescent="0.25">
      <c r="B15" t="s">
        <v>108</v>
      </c>
      <c r="C15" s="429">
        <v>0.23175714604661285</v>
      </c>
    </row>
    <row r="16" spans="2:3" x14ac:dyDescent="0.25">
      <c r="B16" t="s">
        <v>13</v>
      </c>
      <c r="C16" s="429">
        <v>0.61875242628544647</v>
      </c>
    </row>
    <row r="17" spans="2:3" x14ac:dyDescent="0.25">
      <c r="B17" t="s">
        <v>14</v>
      </c>
      <c r="C17" s="429">
        <v>0.77883809127207226</v>
      </c>
    </row>
    <row r="18" spans="2:3" x14ac:dyDescent="0.25">
      <c r="B18" t="s">
        <v>15</v>
      </c>
      <c r="C18" s="429">
        <v>0.33434008934951615</v>
      </c>
    </row>
    <row r="19" spans="2:3" x14ac:dyDescent="0.25">
      <c r="B19" t="s">
        <v>16</v>
      </c>
      <c r="C19" s="429">
        <v>0.54949694166141083</v>
      </c>
    </row>
    <row r="20" spans="2:3" x14ac:dyDescent="0.25">
      <c r="B20" t="s">
        <v>24</v>
      </c>
      <c r="C20" s="429">
        <v>0.67814631947867254</v>
      </c>
    </row>
    <row r="21" spans="2:3" x14ac:dyDescent="0.25">
      <c r="B21" t="s">
        <v>238</v>
      </c>
      <c r="C21" s="429">
        <v>0.68032017989542526</v>
      </c>
    </row>
    <row r="22" spans="2:3" x14ac:dyDescent="0.25">
      <c r="B22" t="s">
        <v>23</v>
      </c>
      <c r="C22" s="429">
        <v>0.16155998919733094</v>
      </c>
    </row>
    <row r="23" spans="2:3" x14ac:dyDescent="0.25">
      <c r="B23" t="s">
        <v>25</v>
      </c>
      <c r="C23" s="429">
        <v>0.34793215392240384</v>
      </c>
    </row>
    <row r="24" spans="2:3" x14ac:dyDescent="0.25">
      <c r="B24" t="s">
        <v>187</v>
      </c>
      <c r="C24" s="429">
        <v>0.15758404433439488</v>
      </c>
    </row>
    <row r="25" spans="2:3" x14ac:dyDescent="0.25">
      <c r="B25" t="s">
        <v>152</v>
      </c>
      <c r="C25" s="429">
        <v>0.11542875550660833</v>
      </c>
    </row>
    <row r="26" spans="2:3" x14ac:dyDescent="0.25">
      <c r="B26" t="s">
        <v>153</v>
      </c>
      <c r="C26" s="429">
        <v>0.37510957809038342</v>
      </c>
    </row>
    <row r="27" spans="2:3" x14ac:dyDescent="0.25">
      <c r="B27" t="s">
        <v>26</v>
      </c>
      <c r="C27" s="429">
        <v>0.24880331205164863</v>
      </c>
    </row>
    <row r="28" spans="2:3" x14ac:dyDescent="0.25">
      <c r="B28" t="s">
        <v>122</v>
      </c>
      <c r="C28" s="429">
        <v>0.57259749381789593</v>
      </c>
    </row>
    <row r="29" spans="2:3" x14ac:dyDescent="0.25">
      <c r="B29" t="s">
        <v>188</v>
      </c>
      <c r="C29" s="429">
        <v>0.54600000000000004</v>
      </c>
    </row>
    <row r="30" spans="2:3" x14ac:dyDescent="0.25">
      <c r="B30" t="s">
        <v>231</v>
      </c>
      <c r="C30" s="429">
        <v>0.437</v>
      </c>
    </row>
    <row r="31" spans="2:3" x14ac:dyDescent="0.25">
      <c r="B31" t="s">
        <v>186</v>
      </c>
      <c r="C31" s="429">
        <v>0.48214212777839133</v>
      </c>
    </row>
    <row r="32" spans="2:3" x14ac:dyDescent="0.25">
      <c r="B32" t="s">
        <v>21</v>
      </c>
      <c r="C32" s="429">
        <v>0.10032662648799993</v>
      </c>
    </row>
    <row r="33" spans="2:3" x14ac:dyDescent="0.25">
      <c r="B33" t="s">
        <v>185</v>
      </c>
      <c r="C33" s="429">
        <v>0.17530000000000001</v>
      </c>
    </row>
    <row r="34" spans="2:3" x14ac:dyDescent="0.25">
      <c r="B34" t="s">
        <v>20</v>
      </c>
      <c r="C34" s="429">
        <v>0.64858379376213593</v>
      </c>
    </row>
    <row r="35" spans="2:3" x14ac:dyDescent="0.25">
      <c r="B35" t="s">
        <v>18</v>
      </c>
      <c r="C35" s="429">
        <v>0.78839343533603723</v>
      </c>
    </row>
    <row r="36" spans="2:3" x14ac:dyDescent="0.25">
      <c r="B36" s="245" t="s">
        <v>19</v>
      </c>
      <c r="C36" s="641">
        <v>0.78839343533603723</v>
      </c>
    </row>
    <row r="37" spans="2:3" x14ac:dyDescent="0.25">
      <c r="B37" s="642" t="s">
        <v>239</v>
      </c>
      <c r="C37" s="643">
        <v>0.246</v>
      </c>
    </row>
  </sheetData>
  <sheetProtection algorithmName="SHA-512" hashValue="tIof/yjGdo2HkZ+K4ZwYZOjQyVfdR67SgsC2I3xSOMtFZUrXv4WXrCoRowwZakVDwvlusVitE+5qIc5vgvBR9Q==" saltValue="cY7zpnaA/cjXCfHtLk6ZhA==" spinCount="100000" sheet="1" objects="1" scenarios="1" selectLockedCells="1"/>
  <conditionalFormatting sqref="B1:B1048576">
    <cfRule type="cellIs" dxfId="37" priority="8" operator="equal">
      <formula>"  "</formula>
    </cfRule>
  </conditionalFormatting>
  <pageMargins left="0.7" right="0.7" top="0.75" bottom="0.75" header="0.3" footer="0.3"/>
  <pageSetup scale="52" fitToHeight="0" orientation="landscape"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39997558519241921"/>
    <pageSetUpPr fitToPage="1"/>
  </sheetPr>
  <dimension ref="B1:J58"/>
  <sheetViews>
    <sheetView showGridLines="0" zoomScale="90" zoomScaleNormal="90" zoomScaleSheetLayoutView="85" workbookViewId="0">
      <selection activeCell="C16" sqref="C16"/>
    </sheetView>
  </sheetViews>
  <sheetFormatPr baseColWidth="10" defaultColWidth="9.140625" defaultRowHeight="14.25" x14ac:dyDescent="0.2"/>
  <cols>
    <col min="1" max="1" width="2.28515625" style="143" customWidth="1"/>
    <col min="2" max="2" width="53.7109375" style="143" customWidth="1"/>
    <col min="3" max="3" width="29.42578125" style="143" customWidth="1"/>
    <col min="4" max="4" width="24.140625" style="143" customWidth="1"/>
    <col min="5" max="5" width="20.85546875" style="143" customWidth="1"/>
    <col min="6" max="6" width="17.42578125" style="143" customWidth="1"/>
    <col min="7" max="7" width="24.140625" style="143" bestFit="1" customWidth="1"/>
    <col min="8" max="8" width="29" style="143" customWidth="1"/>
    <col min="9" max="9" width="19" style="143" bestFit="1" customWidth="1"/>
    <col min="10" max="10" width="18" style="143" bestFit="1" customWidth="1"/>
    <col min="11" max="16384" width="9.140625" style="143"/>
  </cols>
  <sheetData>
    <row r="1" spans="2:8" ht="6" customHeight="1" x14ac:dyDescent="0.2"/>
    <row r="2" spans="2:8" s="37" customFormat="1" ht="15.75" thickBot="1" x14ac:dyDescent="0.3">
      <c r="B2" s="4" t="s">
        <v>76</v>
      </c>
      <c r="C2" s="36"/>
      <c r="D2" s="36"/>
      <c r="E2" s="36"/>
      <c r="F2" s="36"/>
      <c r="G2" s="36"/>
      <c r="H2" s="36"/>
    </row>
    <row r="3" spans="2:8" ht="15" thickBot="1" x14ac:dyDescent="0.25"/>
    <row r="4" spans="2:8" ht="15.75" x14ac:dyDescent="0.2">
      <c r="B4" s="268" t="s">
        <v>177</v>
      </c>
      <c r="C4" s="364"/>
    </row>
    <row r="5" spans="2:8" x14ac:dyDescent="0.2">
      <c r="B5" s="271" t="s">
        <v>67</v>
      </c>
      <c r="C5" s="365"/>
    </row>
    <row r="6" spans="2:8" x14ac:dyDescent="0.2">
      <c r="B6" s="363" t="str">
        <f>"Coûts nets déclarés par les municipalités " &amp;AnnéeRéf</f>
        <v>Coûts nets déclarés par les municipalités 2020</v>
      </c>
      <c r="C6" s="420">
        <f>CoûtsNetsDéclarés</f>
        <v>231745156</v>
      </c>
    </row>
    <row r="7" spans="2:8" x14ac:dyDescent="0.2">
      <c r="B7" s="267" t="s">
        <v>220</v>
      </c>
      <c r="C7" s="463">
        <f>MontantMatOrphelines</f>
        <v>-15007561.939999999</v>
      </c>
    </row>
    <row r="8" spans="2:8" x14ac:dyDescent="0.2">
      <c r="B8" s="363" t="s">
        <v>232</v>
      </c>
      <c r="C8" s="463">
        <f>CoûtsNetsDéclarés+ MontantMatOrphelines</f>
        <v>216737594.06</v>
      </c>
    </row>
    <row r="9" spans="2:8" x14ac:dyDescent="0.2">
      <c r="B9" s="267" t="s">
        <v>221</v>
      </c>
      <c r="C9" s="463">
        <f>MontantPE</f>
        <v>-23544737.309999999</v>
      </c>
    </row>
    <row r="10" spans="2:8" x14ac:dyDescent="0.2">
      <c r="B10" s="267" t="s">
        <v>226</v>
      </c>
      <c r="C10" s="463">
        <f>Paramètres!D12</f>
        <v>963185.29</v>
      </c>
    </row>
    <row r="11" spans="2:8" x14ac:dyDescent="0.2">
      <c r="B11" s="363" t="s">
        <v>60</v>
      </c>
      <c r="C11" s="463">
        <f>C6+C7+C9+C10</f>
        <v>194156042.03999999</v>
      </c>
    </row>
    <row r="12" spans="2:8" x14ac:dyDescent="0.2">
      <c r="B12" s="363" t="s">
        <v>163</v>
      </c>
      <c r="C12" s="420"/>
      <c r="D12" s="465"/>
    </row>
    <row r="13" spans="2:8" x14ac:dyDescent="0.2">
      <c r="B13" s="267" t="s">
        <v>115</v>
      </c>
      <c r="C13" s="463">
        <f>MontantFraisMun</f>
        <v>16600341.594420001</v>
      </c>
    </row>
    <row r="14" spans="2:8" ht="15" x14ac:dyDescent="0.25">
      <c r="B14" s="270" t="s">
        <v>73</v>
      </c>
      <c r="C14" s="422">
        <f>210727720</f>
        <v>210727720</v>
      </c>
    </row>
    <row r="15" spans="2:8" x14ac:dyDescent="0.2">
      <c r="B15" s="267" t="s">
        <v>61</v>
      </c>
      <c r="C15" s="367">
        <f>PartIndustrie</f>
        <v>1</v>
      </c>
    </row>
    <row r="16" spans="2:8" ht="15" x14ac:dyDescent="0.25">
      <c r="B16" s="368" t="s">
        <v>74</v>
      </c>
      <c r="C16" s="422">
        <f>C15*C14</f>
        <v>210727720</v>
      </c>
    </row>
    <row r="17" spans="2:6" ht="15.75" customHeight="1" x14ac:dyDescent="0.2">
      <c r="B17" s="267" t="s">
        <v>62</v>
      </c>
      <c r="C17" s="463">
        <f>MontantPartEEQ</f>
        <v>197030418.16999999</v>
      </c>
    </row>
    <row r="18" spans="2:6" x14ac:dyDescent="0.2">
      <c r="B18" s="267" t="s">
        <v>164</v>
      </c>
      <c r="C18" s="463"/>
    </row>
    <row r="19" spans="2:6" ht="15.75" thickBot="1" x14ac:dyDescent="0.3">
      <c r="B19" s="370" t="s">
        <v>75</v>
      </c>
      <c r="C19" s="423">
        <f>SUM(C17:C18)</f>
        <v>197030418.16999999</v>
      </c>
      <c r="D19" s="465"/>
    </row>
    <row r="20" spans="2:6" ht="15" thickBot="1" x14ac:dyDescent="0.25">
      <c r="B20" s="35"/>
      <c r="C20" s="35"/>
    </row>
    <row r="21" spans="2:6" ht="15.75" x14ac:dyDescent="0.2">
      <c r="B21" s="268" t="s">
        <v>147</v>
      </c>
      <c r="C21" s="364"/>
    </row>
    <row r="22" spans="2:6" x14ac:dyDescent="0.2">
      <c r="B22" s="269" t="s">
        <v>116</v>
      </c>
      <c r="C22" s="371"/>
    </row>
    <row r="23" spans="2:6" x14ac:dyDescent="0.2">
      <c r="B23" s="266" t="s">
        <v>117</v>
      </c>
      <c r="C23" s="424">
        <f>MIN(3000000, IndemnitéRQ * (CompensationMaxRM  + CoûtsAssumésEEQ))</f>
        <v>3000000</v>
      </c>
    </row>
    <row r="24" spans="2:6" x14ac:dyDescent="0.2">
      <c r="B24" s="267" t="s">
        <v>118</v>
      </c>
      <c r="C24" s="369">
        <f>PartEEQ</f>
        <v>0.93499999999999994</v>
      </c>
      <c r="D24" s="351" t="s">
        <v>143</v>
      </c>
      <c r="F24" s="390"/>
    </row>
    <row r="25" spans="2:6" ht="15" x14ac:dyDescent="0.25">
      <c r="B25" s="270" t="s">
        <v>119</v>
      </c>
      <c r="C25" s="422">
        <f>C23*C24</f>
        <v>2805000</v>
      </c>
    </row>
    <row r="26" spans="2:6" x14ac:dyDescent="0.2">
      <c r="B26" s="271" t="s">
        <v>158</v>
      </c>
      <c r="C26" s="365"/>
    </row>
    <row r="27" spans="2:6" x14ac:dyDescent="0.2">
      <c r="B27" s="272" t="s">
        <v>63</v>
      </c>
      <c r="C27" s="420">
        <f>FraisAdminÉEQ</f>
        <v>6000000</v>
      </c>
    </row>
    <row r="28" spans="2:6" x14ac:dyDescent="0.2">
      <c r="B28" s="272" t="s">
        <v>106</v>
      </c>
      <c r="C28" s="420">
        <f>FraisRDÉEQ</f>
        <v>0</v>
      </c>
    </row>
    <row r="29" spans="2:6" ht="15" x14ac:dyDescent="0.25">
      <c r="B29" s="270" t="s">
        <v>159</v>
      </c>
      <c r="C29" s="422">
        <f>SUM(C27:C28)</f>
        <v>6000000</v>
      </c>
    </row>
    <row r="30" spans="2:6" ht="15.75" thickBot="1" x14ac:dyDescent="0.3">
      <c r="B30" s="401" t="s">
        <v>43</v>
      </c>
      <c r="C30" s="423">
        <f>C25+C29</f>
        <v>8805000</v>
      </c>
    </row>
    <row r="31" spans="2:6" ht="15" thickBot="1" x14ac:dyDescent="0.25"/>
    <row r="32" spans="2:6" ht="15.75" x14ac:dyDescent="0.2">
      <c r="B32" s="268" t="s">
        <v>65</v>
      </c>
      <c r="C32" s="364"/>
    </row>
    <row r="33" spans="2:4" x14ac:dyDescent="0.2">
      <c r="B33" s="372" t="s">
        <v>233</v>
      </c>
      <c r="C33" s="373">
        <f>ProvCréances</f>
        <v>0.02</v>
      </c>
    </row>
    <row r="34" spans="2:4" x14ac:dyDescent="0.2">
      <c r="B34" s="272" t="s">
        <v>40</v>
      </c>
      <c r="C34" s="420">
        <f>C33 * (FraisGestionImputés + CoûtsAssumésEEQ)</f>
        <v>4116708.3633999997</v>
      </c>
    </row>
    <row r="35" spans="2:4" x14ac:dyDescent="0.2">
      <c r="B35" s="272" t="s">
        <v>227</v>
      </c>
      <c r="C35" s="420">
        <f>'Crédit contenu recyclé'!K47</f>
        <v>480362.82440986636</v>
      </c>
    </row>
    <row r="36" spans="2:4" x14ac:dyDescent="0.2">
      <c r="B36" s="374" t="s">
        <v>148</v>
      </c>
      <c r="C36" s="421">
        <f>MAX(CoûtsAssumésEEQ * FondsRisquePourcCible -FondsRisqueActuel,0)</f>
        <v>0</v>
      </c>
    </row>
    <row r="37" spans="2:4" ht="15.75" thickBot="1" x14ac:dyDescent="0.3">
      <c r="B37" s="375" t="s">
        <v>77</v>
      </c>
      <c r="C37" s="425">
        <f>SUM(C34:C34)</f>
        <v>4116708.3633999997</v>
      </c>
    </row>
    <row r="38" spans="2:4" ht="15.75" thickBot="1" x14ac:dyDescent="0.3">
      <c r="B38" s="391"/>
      <c r="C38" s="580"/>
    </row>
    <row r="39" spans="2:4" ht="15.75" thickBot="1" x14ac:dyDescent="0.3">
      <c r="B39" s="581" t="s">
        <v>228</v>
      </c>
      <c r="C39" s="582">
        <f>SUM(Paramètres!E49:E78)</f>
        <v>597298.96973024821</v>
      </c>
    </row>
    <row r="40" spans="2:4" ht="15.75" thickBot="1" x14ac:dyDescent="0.3">
      <c r="B40" s="391"/>
      <c r="C40" s="392"/>
    </row>
    <row r="41" spans="2:4" ht="15" x14ac:dyDescent="0.25">
      <c r="B41" s="404" t="s">
        <v>144</v>
      </c>
      <c r="C41" s="405"/>
    </row>
    <row r="42" spans="2:4" x14ac:dyDescent="0.2">
      <c r="B42" s="394" t="s">
        <v>145</v>
      </c>
      <c r="C42" s="548">
        <f>FondsRetraitConjoint</f>
        <v>0</v>
      </c>
    </row>
    <row r="43" spans="2:4" x14ac:dyDescent="0.2">
      <c r="B43" s="363" t="s">
        <v>1</v>
      </c>
      <c r="C43" s="366">
        <f>FondsRetraitImprimé</f>
        <v>0</v>
      </c>
    </row>
    <row r="44" spans="2:4" ht="15" thickBot="1" x14ac:dyDescent="0.25">
      <c r="B44" s="395" t="s">
        <v>4</v>
      </c>
      <c r="C44" s="583">
        <f>FondsRetraitCE</f>
        <v>0</v>
      </c>
      <c r="D44" s="402"/>
    </row>
    <row r="45" spans="2:4" ht="15" thickBot="1" x14ac:dyDescent="0.25">
      <c r="B45" s="37"/>
      <c r="C45" s="454"/>
      <c r="D45" s="402"/>
    </row>
    <row r="46" spans="2:4" ht="15.75" thickBot="1" x14ac:dyDescent="0.3">
      <c r="B46" s="461" t="s">
        <v>165</v>
      </c>
      <c r="C46" s="462">
        <f>AnticipationTarifFixe</f>
        <v>-2850000</v>
      </c>
      <c r="D46" s="402"/>
    </row>
    <row r="47" spans="2:4" ht="15" x14ac:dyDescent="0.25">
      <c r="B47" s="391"/>
      <c r="C47" s="392"/>
      <c r="D47" s="392"/>
    </row>
    <row r="48" spans="2:4" ht="15" thickBot="1" x14ac:dyDescent="0.25">
      <c r="B48" s="35"/>
      <c r="C48" s="35"/>
      <c r="D48" s="35"/>
    </row>
    <row r="49" spans="2:10" ht="15.75" x14ac:dyDescent="0.2">
      <c r="B49" s="593" t="s">
        <v>120</v>
      </c>
      <c r="C49" s="569"/>
      <c r="D49" s="569"/>
      <c r="E49" s="569"/>
      <c r="F49" s="569"/>
      <c r="G49" s="569"/>
      <c r="H49" s="570"/>
    </row>
    <row r="50" spans="2:10" ht="57" x14ac:dyDescent="0.2">
      <c r="B50" s="376" t="s">
        <v>41</v>
      </c>
      <c r="C50" s="261" t="s">
        <v>90</v>
      </c>
      <c r="D50" s="261" t="s">
        <v>149</v>
      </c>
      <c r="E50" s="261" t="s">
        <v>91</v>
      </c>
      <c r="F50" s="261" t="s">
        <v>150</v>
      </c>
      <c r="G50" s="261" t="s">
        <v>92</v>
      </c>
      <c r="H50" s="381" t="s">
        <v>93</v>
      </c>
    </row>
    <row r="51" spans="2:10" x14ac:dyDescent="0.2">
      <c r="B51" s="266" t="s">
        <v>1</v>
      </c>
      <c r="C51" s="393">
        <f>PartCoutImprimés</f>
        <v>0.20699999999999999</v>
      </c>
      <c r="D51" s="393">
        <f>$C51 / ($C$51 + $C$52)</f>
        <v>0.22139037433155082</v>
      </c>
      <c r="E51" s="382">
        <f>PartImprimésRelative * CoûtsAssumésEEQ</f>
        <v>43620638.033358291</v>
      </c>
      <c r="F51" s="382">
        <f>C43 + $C$42 * D51</f>
        <v>0</v>
      </c>
      <c r="G51" s="378">
        <f>E51 + F51 + (FraisProvisionEtRisque + $C$46) * $D51</f>
        <v>43901075.072100326</v>
      </c>
      <c r="H51" s="403">
        <f>$G51 + FraisGestionImputés * SUMIF(tblMatières[Catégorie],$B51,tblMatières[Nombre déclarations]) / SUM(tblMatières[Nombre déclarations])</f>
        <v>45211474.946155742</v>
      </c>
      <c r="I51" s="406"/>
      <c r="J51" s="407"/>
    </row>
    <row r="52" spans="2:10" ht="15" thickBot="1" x14ac:dyDescent="0.25">
      <c r="B52" s="481" t="s">
        <v>4</v>
      </c>
      <c r="C52" s="482">
        <f>PartCoutContenants</f>
        <v>0.72799999999999998</v>
      </c>
      <c r="D52" s="482">
        <f>$C52 / ($C$51 + $C$52)</f>
        <v>0.77860962566844927</v>
      </c>
      <c r="E52" s="483">
        <f>PartCERelative*CoûtsAssumésEEQ</f>
        <v>153409780.13664171</v>
      </c>
      <c r="F52" s="483">
        <f>C44 + $C$42 * D52</f>
        <v>0</v>
      </c>
      <c r="G52" s="484">
        <f>E52 + F52 + (FraisProvisionEtRisque + $C$46) * $D52</f>
        <v>154396051.46129969</v>
      </c>
      <c r="H52" s="485">
        <f>$G52 + FraisGestionImputés * SUMIF(tblMatières[Catégorie],$B52,tblMatières[Nombre déclarations]) / SUM(tblMatières[Nombre déclarations])</f>
        <v>161890651.58724427</v>
      </c>
      <c r="I52" s="406"/>
      <c r="J52" s="407"/>
    </row>
    <row r="53" spans="2:10" ht="16.5" thickTop="1" thickBot="1" x14ac:dyDescent="0.3">
      <c r="B53" s="477" t="s">
        <v>42</v>
      </c>
      <c r="C53" s="478">
        <f t="shared" ref="C53:H53" si="0">SUM(C51:C52)</f>
        <v>0.93499999999999994</v>
      </c>
      <c r="D53" s="478">
        <f t="shared" si="0"/>
        <v>1</v>
      </c>
      <c r="E53" s="479">
        <f t="shared" si="0"/>
        <v>197030418.17000002</v>
      </c>
      <c r="F53" s="479">
        <f t="shared" si="0"/>
        <v>0</v>
      </c>
      <c r="G53" s="479">
        <f t="shared" si="0"/>
        <v>198297126.5334</v>
      </c>
      <c r="H53" s="480">
        <f t="shared" si="0"/>
        <v>207102126.5334</v>
      </c>
      <c r="I53" s="408"/>
    </row>
    <row r="54" spans="2:10" ht="15" thickBot="1" x14ac:dyDescent="0.25">
      <c r="G54" s="408"/>
    </row>
    <row r="55" spans="2:10" x14ac:dyDescent="0.2">
      <c r="B55" s="629" t="s">
        <v>42</v>
      </c>
      <c r="C55" s="630">
        <f>CoûtTotalCompenser</f>
        <v>207102126.5334</v>
      </c>
      <c r="H55" s="408"/>
    </row>
    <row r="56" spans="2:10" x14ac:dyDescent="0.2">
      <c r="B56" s="394" t="s">
        <v>234</v>
      </c>
      <c r="C56" s="631">
        <f>C35</f>
        <v>480362.82440986636</v>
      </c>
      <c r="H56" s="383"/>
    </row>
    <row r="57" spans="2:10" x14ac:dyDescent="0.2">
      <c r="B57" s="394" t="s">
        <v>235</v>
      </c>
      <c r="C57" s="631">
        <f>C39</f>
        <v>597298.96973024821</v>
      </c>
    </row>
    <row r="58" spans="2:10" ht="15.75" thickBot="1" x14ac:dyDescent="0.3">
      <c r="B58" s="632" t="s">
        <v>236</v>
      </c>
      <c r="C58" s="633">
        <f>C55+C56+C57</f>
        <v>208179788.32754013</v>
      </c>
    </row>
  </sheetData>
  <sheetProtection algorithmName="SHA-512" hashValue="y0MqeuB6X9PWrep5HAEycPyWjtHNVfk1mKSydE4JXbkuBZpkuF+e8TuFJqY5QfigUav+OoIaDlWaYMMmnHkicQ==" saltValue="7j0PsWRMm0sih7ioqWrejQ==" spinCount="100000" sheet="1" objects="1" scenarios="1" selectLockedCells="1"/>
  <pageMargins left="0.7" right="0.7" top="0.75" bottom="0.75" header="0.3" footer="0.3"/>
  <pageSetup scale="56" fitToHeight="0" orientation="landscape" r:id="rId1"/>
  <ignoredErrors>
    <ignoredError sqref="C17" 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
    <tabColor theme="4" tint="0.39997558519241921"/>
    <pageSetUpPr fitToPage="1"/>
  </sheetPr>
  <dimension ref="B1:R88"/>
  <sheetViews>
    <sheetView showGridLines="0" zoomScale="90" zoomScaleNormal="90" zoomScaleSheetLayoutView="80" workbookViewId="0">
      <pane xSplit="4" ySplit="1" topLeftCell="E2" activePane="bottomRight" state="frozen"/>
      <selection pane="topRight" activeCell="E1" sqref="E1"/>
      <selection pane="bottomLeft" activeCell="A2" sqref="A2"/>
      <selection pane="bottomRight" activeCell="M5" sqref="M5"/>
    </sheetView>
  </sheetViews>
  <sheetFormatPr baseColWidth="10" defaultRowHeight="15" x14ac:dyDescent="0.25"/>
  <cols>
    <col min="1" max="1" width="2.85546875" customWidth="1"/>
    <col min="2" max="2" width="27.5703125" style="1" customWidth="1"/>
    <col min="3" max="3" width="13.42578125" bestFit="1" customWidth="1"/>
    <col min="4" max="4" width="55.42578125" bestFit="1" customWidth="1"/>
    <col min="5" max="5" width="11" customWidth="1"/>
    <col min="6" max="6" width="15" customWidth="1"/>
    <col min="7" max="7" width="17.140625" customWidth="1"/>
    <col min="8" max="8" width="16.85546875" customWidth="1"/>
    <col min="9" max="9" width="18.5703125" customWidth="1"/>
    <col min="10" max="10" width="23.28515625" customWidth="1"/>
    <col min="11" max="11" width="12.42578125" customWidth="1"/>
    <col min="12" max="12" width="14.7109375" customWidth="1"/>
    <col min="13" max="13" width="9.42578125" customWidth="1"/>
    <col min="14" max="14" width="13.5703125" customWidth="1"/>
    <col min="15" max="15" width="14.28515625" customWidth="1"/>
    <col min="16" max="16" width="16.7109375" bestFit="1" customWidth="1"/>
    <col min="17" max="17" width="17.28515625" customWidth="1"/>
    <col min="18" max="18" width="13.28515625" customWidth="1"/>
    <col min="19" max="19" width="14" customWidth="1"/>
    <col min="20" max="20" width="13.7109375" bestFit="1" customWidth="1"/>
    <col min="21" max="21" width="13" customWidth="1"/>
    <col min="22" max="22" width="10.42578125" customWidth="1"/>
    <col min="23" max="23" width="13.28515625" bestFit="1" customWidth="1"/>
    <col min="24" max="24" width="18.42578125" bestFit="1" customWidth="1"/>
    <col min="25" max="25" width="14.7109375" customWidth="1"/>
    <col min="26" max="26" width="13.85546875" customWidth="1"/>
    <col min="27" max="27" width="18.28515625" customWidth="1"/>
  </cols>
  <sheetData>
    <row r="1" spans="2:18" ht="9" customHeight="1" x14ac:dyDescent="0.25"/>
    <row r="2" spans="2:18" x14ac:dyDescent="0.25">
      <c r="B2" s="1" t="s">
        <v>142</v>
      </c>
      <c r="D2" s="245"/>
    </row>
    <row r="3" spans="2:18" ht="7.5" customHeight="1" x14ac:dyDescent="0.25">
      <c r="E3" s="345"/>
    </row>
    <row r="4" spans="2:18" ht="47.25" customHeight="1" x14ac:dyDescent="0.25">
      <c r="B4" s="428" t="s">
        <v>41</v>
      </c>
      <c r="C4" s="428" t="s">
        <v>124</v>
      </c>
      <c r="D4" s="428" t="s">
        <v>123</v>
      </c>
      <c r="E4" s="428" t="s">
        <v>155</v>
      </c>
      <c r="F4" s="428" t="s">
        <v>125</v>
      </c>
      <c r="G4" s="428" t="s">
        <v>157</v>
      </c>
      <c r="H4" s="428" t="s">
        <v>126</v>
      </c>
      <c r="I4" s="428" t="s">
        <v>127</v>
      </c>
      <c r="J4" s="428" t="s">
        <v>128</v>
      </c>
      <c r="K4" s="428" t="s">
        <v>156</v>
      </c>
      <c r="L4" s="428" t="s">
        <v>129</v>
      </c>
      <c r="M4" s="428" t="s">
        <v>131</v>
      </c>
      <c r="N4" s="428" t="s">
        <v>132</v>
      </c>
      <c r="O4" s="428" t="s">
        <v>130</v>
      </c>
      <c r="P4" s="428" t="s">
        <v>133</v>
      </c>
      <c r="Q4" s="525" t="s">
        <v>198</v>
      </c>
      <c r="R4" s="525" t="s">
        <v>199</v>
      </c>
    </row>
    <row r="5" spans="2:18" x14ac:dyDescent="0.25">
      <c r="B5" s="37" t="s">
        <v>1</v>
      </c>
      <c r="C5" s="37" t="s">
        <v>1</v>
      </c>
      <c r="D5" s="37" t="s">
        <v>7</v>
      </c>
      <c r="E5" s="37">
        <v>1</v>
      </c>
      <c r="F5" s="280">
        <f>INDEX(rgDéclaration_NbDécl,MATCH(tblMatières[[#This Row],[Matière]],rgDéclaration_Matières,0))</f>
        <v>133</v>
      </c>
      <c r="G5" s="279">
        <f>INT(INDEX(rgDéclaration_QtéFinale,MATCH(tblMatières[[#This Row],[Matière]],rgDéclaration_Matières,0)))</f>
        <v>65368143</v>
      </c>
      <c r="H5" s="279">
        <f>tblMatières[[#This Row],[Quantité attendue net (kg)]]/1000</f>
        <v>65368.142999999996</v>
      </c>
      <c r="I5" s="279">
        <f>tblMatières[[#This Row],[Quantité déclarée (tonnes)]]</f>
        <v>65368.142999999996</v>
      </c>
      <c r="J5" s="279">
        <f>tblMatières[[#This Row],[Quantité générée (tonnes)]]*tblMatières[[#This Row],[% récupération]]</f>
        <v>55656.984739085055</v>
      </c>
      <c r="K5" s="279">
        <f>tblMatières[[#This Row],[Quantité générée (tonnes)]]-tblMatières[[#This Row],[Quantité récupérée (tonnes)]]</f>
        <v>9711.1582609149409</v>
      </c>
      <c r="L5" s="433">
        <f>INDEX(Caractérisation!$C$7:$C$37,MATCH(tblMatières[[#This Row],[Matière]],Caractérisation!$B$7:$B$37,0))</f>
        <v>0.85143897600219509</v>
      </c>
      <c r="M5" s="464">
        <f>INDEX(Paramètres!$C$49:$C$79,MATCH(tblMatières[[#This Row],[Matière]],Paramètres!$B$49:$B$79,0))</f>
        <v>213.01237353598685</v>
      </c>
      <c r="N5" s="464">
        <f>INDEX(Paramètres!$D$49:$D$79,MATCH(tblMatières[[#This Row],[Matière]],Paramètres!$B$49:$B$79,0))</f>
        <v>69.564234705408097</v>
      </c>
      <c r="O5" s="282">
        <f>tblMatières[[#This Row],[Coût brut]]-tblMatières[[#This Row],[Revenu brut]]</f>
        <v>143.44813883057876</v>
      </c>
      <c r="P5" s="333">
        <f>INDEX(Paramètres!$E$49:$E$79,MATCH(tblMatières[[#This Row],[Matière]],Paramètres!$B$49:$B$79,0))</f>
        <v>0</v>
      </c>
      <c r="Q5" s="536">
        <v>100503.348</v>
      </c>
      <c r="R5" s="437">
        <v>292.25</v>
      </c>
    </row>
    <row r="6" spans="2:18" x14ac:dyDescent="0.25">
      <c r="B6" s="37" t="s">
        <v>1</v>
      </c>
      <c r="C6" s="37" t="s">
        <v>1</v>
      </c>
      <c r="D6" s="37" t="s">
        <v>8</v>
      </c>
      <c r="E6" s="37">
        <v>2</v>
      </c>
      <c r="F6" s="280">
        <f>INDEX(rgDéclaration_NbDécl,MATCH(tblMatières[[#This Row],[Matière]],rgDéclaration_Matières,0))</f>
        <v>167</v>
      </c>
      <c r="G6" s="279">
        <f>INT(INDEX(rgDéclaration_QtéFinale,MATCH(tblMatières[[#This Row],[Matière]],rgDéclaration_Matières,0)))</f>
        <v>5387248</v>
      </c>
      <c r="H6" s="279">
        <f>tblMatières[[#This Row],[Quantité attendue net (kg)]]/1000</f>
        <v>5387.2479999999996</v>
      </c>
      <c r="I6" s="279">
        <f>tblMatières[[#This Row],[Quantité déclarée (tonnes)]]</f>
        <v>5387.2479999999996</v>
      </c>
      <c r="J6" s="279">
        <f>tblMatières[[#This Row],[Quantité générée (tonnes)]]*tblMatières[[#This Row],[% récupération]]</f>
        <v>4441.1866763444323</v>
      </c>
      <c r="K6" s="279">
        <f>tblMatières[[#This Row],[Quantité générée (tonnes)]]-tblMatières[[#This Row],[Quantité récupérée (tonnes)]]</f>
        <v>946.06132365556732</v>
      </c>
      <c r="L6" s="433">
        <f>INDEX(Caractérisation!$C$7:$C$37,MATCH(tblMatières[[#This Row],[Matière]],Caractérisation!$B$7:$B$37,0))</f>
        <v>0.82438875588137628</v>
      </c>
      <c r="M6" s="464">
        <f>INDEX(Paramètres!$C$49:$C$79,MATCH(tblMatières[[#This Row],[Matière]],Paramètres!$B$49:$B$79,0))</f>
        <v>210.33372711045467</v>
      </c>
      <c r="N6" s="464">
        <f>INDEX(Paramètres!$D$49:$D$79,MATCH(tblMatières[[#This Row],[Matière]],Paramètres!$B$49:$B$79,0))</f>
        <v>65.637157231767873</v>
      </c>
      <c r="O6" s="282">
        <f>tblMatières[[#This Row],[Coût brut]]-tblMatières[[#This Row],[Revenu brut]]</f>
        <v>144.6965698786868</v>
      </c>
      <c r="P6" s="333">
        <f>INDEX(Paramètres!$E$49:$E$79,MATCH(tblMatières[[#This Row],[Matière]],Paramètres!$B$49:$B$79,0))</f>
        <v>0</v>
      </c>
      <c r="Q6" s="536">
        <v>16909.731</v>
      </c>
      <c r="R6" s="437">
        <v>425.74</v>
      </c>
    </row>
    <row r="7" spans="2:18" x14ac:dyDescent="0.25">
      <c r="B7" s="37" t="s">
        <v>1</v>
      </c>
      <c r="C7" s="37" t="s">
        <v>1</v>
      </c>
      <c r="D7" s="37" t="s">
        <v>5</v>
      </c>
      <c r="E7" s="37">
        <v>3</v>
      </c>
      <c r="F7" s="280">
        <f>INDEX(rgDéclaration_NbDécl,MATCH(tblMatières[[#This Row],[Matière]],rgDéclaration_Matières,0))</f>
        <v>64</v>
      </c>
      <c r="G7" s="279">
        <f>INT(INDEX(rgDéclaration_QtéFinale,MATCH(tblMatières[[#This Row],[Matière]],rgDéclaration_Matières,0)))</f>
        <v>3004658</v>
      </c>
      <c r="H7" s="279">
        <f>tblMatières[[#This Row],[Quantité attendue net (kg)]]/1000</f>
        <v>3004.6579999999999</v>
      </c>
      <c r="I7" s="279">
        <f>tblMatières[[#This Row],[Quantité déclarée (tonnes)]]</f>
        <v>3004.6579999999999</v>
      </c>
      <c r="J7" s="279">
        <f>tblMatières[[#This Row],[Quantité générée (tonnes)]]*tblMatières[[#This Row],[% récupération]]</f>
        <v>2573.084473947371</v>
      </c>
      <c r="K7" s="279">
        <f>tblMatières[[#This Row],[Quantité générée (tonnes)]]-tblMatières[[#This Row],[Quantité récupérée (tonnes)]]</f>
        <v>431.57352605262895</v>
      </c>
      <c r="L7" s="433">
        <f>INDEX(Caractérisation!$C$7:$C$37,MATCH(tblMatières[[#This Row],[Matière]],Caractérisation!$B$7:$B$37,0))</f>
        <v>0.85636517498742648</v>
      </c>
      <c r="M7" s="464">
        <f>INDEX(Paramètres!$C$49:$C$79,MATCH(tblMatières[[#This Row],[Matière]],Paramètres!$B$49:$B$79,0))</f>
        <v>208.06579350908441</v>
      </c>
      <c r="N7" s="464">
        <f>INDEX(Paramètres!$D$49:$D$79,MATCH(tblMatières[[#This Row],[Matière]],Paramètres!$B$49:$B$79,0))</f>
        <v>68.609800395828401</v>
      </c>
      <c r="O7" s="282">
        <f>tblMatières[[#This Row],[Coût brut]]-tblMatières[[#This Row],[Revenu brut]]</f>
        <v>139.455993113256</v>
      </c>
      <c r="P7" s="333">
        <f>INDEX(Paramètres!$E$49:$E$79,MATCH(tblMatières[[#This Row],[Matière]],Paramètres!$B$49:$B$79,0))</f>
        <v>0</v>
      </c>
      <c r="Q7" s="536">
        <v>10816.571</v>
      </c>
      <c r="R7" s="437">
        <v>425.74</v>
      </c>
    </row>
    <row r="8" spans="2:18" x14ac:dyDescent="0.25">
      <c r="B8" s="37" t="s">
        <v>1</v>
      </c>
      <c r="C8" s="37" t="s">
        <v>1</v>
      </c>
      <c r="D8" s="37" t="s">
        <v>9</v>
      </c>
      <c r="E8" s="37">
        <v>4</v>
      </c>
      <c r="F8" s="280">
        <f>INDEX(rgDéclaration_NbDécl,MATCH(tblMatières[[#This Row],[Matière]],rgDéclaration_Matières,0))</f>
        <v>2</v>
      </c>
      <c r="G8" s="279">
        <f>INT(INDEX(rgDéclaration_QtéFinale,MATCH(tblMatières[[#This Row],[Matière]],rgDéclaration_Matières,0)))</f>
        <v>320285</v>
      </c>
      <c r="H8" s="279">
        <f>tblMatières[[#This Row],[Quantité attendue net (kg)]]/1000</f>
        <v>320.28500000000003</v>
      </c>
      <c r="I8" s="279">
        <f>tblMatières[[#This Row],[Quantité déclarée (tonnes)]]</f>
        <v>320.28500000000003</v>
      </c>
      <c r="J8" s="279">
        <f>tblMatières[[#This Row],[Quantité générée (tonnes)]]*tblMatières[[#This Row],[% récupération]]</f>
        <v>261.22380655183559</v>
      </c>
      <c r="K8" s="279">
        <f>tblMatières[[#This Row],[Quantité générée (tonnes)]]-tblMatières[[#This Row],[Quantité récupérée (tonnes)]]</f>
        <v>59.061193448164431</v>
      </c>
      <c r="L8" s="433">
        <f>INDEX(Caractérisation!$C$7:$C$37,MATCH(tblMatières[[#This Row],[Matière]],Caractérisation!$B$7:$B$37,0))</f>
        <v>0.81559800350261658</v>
      </c>
      <c r="M8" s="464">
        <f>INDEX(Paramètres!$C$49:$C$79,MATCH(tblMatières[[#This Row],[Matière]],Paramètres!$B$49:$B$79,0))</f>
        <v>209.60382448981511</v>
      </c>
      <c r="N8" s="464">
        <f>INDEX(Paramètres!$D$49:$D$79,MATCH(tblMatières[[#This Row],[Matière]],Paramètres!$B$49:$B$79,0))</f>
        <v>64.87730069098059</v>
      </c>
      <c r="O8" s="282">
        <f>tblMatières[[#This Row],[Coût brut]]-tblMatières[[#This Row],[Revenu brut]]</f>
        <v>144.72652379883453</v>
      </c>
      <c r="P8" s="333">
        <f>INDEX(Paramètres!$E$49:$E$79,MATCH(tblMatières[[#This Row],[Matière]],Paramètres!$B$49:$B$79,0))</f>
        <v>0</v>
      </c>
      <c r="Q8" s="536">
        <v>1956.9110000000001</v>
      </c>
      <c r="R8" s="437">
        <v>425.74</v>
      </c>
    </row>
    <row r="9" spans="2:18" x14ac:dyDescent="0.25">
      <c r="B9" s="37" t="s">
        <v>1</v>
      </c>
      <c r="C9" s="37" t="s">
        <v>1</v>
      </c>
      <c r="D9" s="37" t="s">
        <v>11</v>
      </c>
      <c r="E9" s="37">
        <v>5</v>
      </c>
      <c r="F9" s="280">
        <f>INDEX(rgDéclaration_NbDécl,MATCH(tblMatières[[#This Row],[Matière]],rgDéclaration_Matières,0))</f>
        <v>124</v>
      </c>
      <c r="G9" s="279">
        <f>INT(INDEX(rgDéclaration_QtéFinale,MATCH(tblMatières[[#This Row],[Matière]],rgDéclaration_Matières,0)))</f>
        <v>5107798</v>
      </c>
      <c r="H9" s="279">
        <f>tblMatières[[#This Row],[Quantité attendue net (kg)]]/1000</f>
        <v>5107.7979999999998</v>
      </c>
      <c r="I9" s="279">
        <f>tblMatières[[#This Row],[Quantité déclarée (tonnes)]]</f>
        <v>5107.7979999999998</v>
      </c>
      <c r="J9" s="279">
        <f>tblMatières[[#This Row],[Quantité générée (tonnes)]]*tblMatières[[#This Row],[% récupération]]</f>
        <v>2901.4502265425795</v>
      </c>
      <c r="K9" s="279">
        <f>tblMatières[[#This Row],[Quantité générée (tonnes)]]-tblMatières[[#This Row],[Quantité récupérée (tonnes)]]</f>
        <v>2206.3477734574203</v>
      </c>
      <c r="L9" s="433">
        <f>INDEX(Caractérisation!$C$7:$C$37,MATCH(tblMatières[[#This Row],[Matière]],Caractérisation!$B$7:$B$37,0))</f>
        <v>0.56804325984359205</v>
      </c>
      <c r="M9" s="464">
        <f>INDEX(Paramètres!$C$49:$C$79,MATCH(tblMatières[[#This Row],[Matière]],Paramètres!$B$49:$B$79,0))</f>
        <v>212.65751376560254</v>
      </c>
      <c r="N9" s="464">
        <f>INDEX(Paramètres!$D$49:$D$79,MATCH(tblMatières[[#This Row],[Matière]],Paramètres!$B$49:$B$79,0))</f>
        <v>64.612659554051106</v>
      </c>
      <c r="O9" s="282">
        <f>tblMatières[[#This Row],[Coût brut]]-tblMatières[[#This Row],[Revenu brut]]</f>
        <v>148.04485421155144</v>
      </c>
      <c r="P9" s="333">
        <f>INDEX(Paramètres!$E$49:$E$79,MATCH(tblMatières[[#This Row],[Matière]],Paramètres!$B$49:$B$79,0))</f>
        <v>0</v>
      </c>
      <c r="Q9" s="536">
        <v>4514.6930000000002</v>
      </c>
      <c r="R9" s="437">
        <v>425.74</v>
      </c>
    </row>
    <row r="10" spans="2:18" x14ac:dyDescent="0.25">
      <c r="B10" s="37" t="s">
        <v>1</v>
      </c>
      <c r="C10" s="37" t="s">
        <v>1</v>
      </c>
      <c r="D10" s="37" t="s">
        <v>10</v>
      </c>
      <c r="E10" s="37">
        <v>6</v>
      </c>
      <c r="F10" s="280">
        <f>INDEX(rgDéclaration_NbDécl,MATCH(tblMatières[[#This Row],[Matière]],rgDéclaration_Matières,0))</f>
        <v>928</v>
      </c>
      <c r="G10" s="279">
        <f>INT(INDEX(rgDéclaration_QtéFinale,MATCH(tblMatières[[#This Row],[Matière]],rgDéclaration_Matières,0)))</f>
        <v>18948096</v>
      </c>
      <c r="H10" s="279">
        <f>tblMatières[[#This Row],[Quantité attendue net (kg)]]/1000</f>
        <v>18948.096000000001</v>
      </c>
      <c r="I10" s="279">
        <f>tblMatières[[#This Row],[Quantité déclarée (tonnes)]]</f>
        <v>18948.096000000001</v>
      </c>
      <c r="J10" s="279">
        <f>tblMatières[[#This Row],[Quantité générée (tonnes)]]*tblMatières[[#This Row],[% récupération]]</f>
        <v>11814.415994167999</v>
      </c>
      <c r="K10" s="279">
        <f>tblMatières[[#This Row],[Quantité générée (tonnes)]]-tblMatières[[#This Row],[Quantité récupérée (tonnes)]]</f>
        <v>7133.6800058320023</v>
      </c>
      <c r="L10" s="433">
        <f>INDEX(Caractérisation!$C$7:$C$37,MATCH(tblMatières[[#This Row],[Matière]],Caractérisation!$B$7:$B$37,0))</f>
        <v>0.62351467895075041</v>
      </c>
      <c r="M10" s="464">
        <f>INDEX(Paramètres!$C$49:$C$79,MATCH(tblMatières[[#This Row],[Matière]],Paramètres!$B$49:$B$79,0))</f>
        <v>199.2953539390646</v>
      </c>
      <c r="N10" s="464">
        <f>INDEX(Paramètres!$D$49:$D$79,MATCH(tblMatières[[#This Row],[Matière]],Paramètres!$B$49:$B$79,0))</f>
        <v>56.001442197631327</v>
      </c>
      <c r="O10" s="282">
        <f>tblMatières[[#This Row],[Coût brut]]-tblMatières[[#This Row],[Revenu brut]]</f>
        <v>143.29391174143328</v>
      </c>
      <c r="P10" s="333">
        <f>INDEX(Paramètres!$E$49:$E$79,MATCH(tblMatières[[#This Row],[Matière]],Paramètres!$B$49:$B$79,0))</f>
        <v>0</v>
      </c>
      <c r="Q10" s="536">
        <v>26543.002</v>
      </c>
      <c r="R10" s="437">
        <v>425.74</v>
      </c>
    </row>
    <row r="11" spans="2:18" x14ac:dyDescent="0.25">
      <c r="B11" s="37" t="s">
        <v>4</v>
      </c>
      <c r="C11" s="37" t="s">
        <v>35</v>
      </c>
      <c r="D11" s="37" t="s">
        <v>12</v>
      </c>
      <c r="E11" s="37">
        <v>10</v>
      </c>
      <c r="F11" s="280">
        <f>INDEX(rgDéclaration_NbDécl,MATCH(tblMatières[[#This Row],[Matière]],rgDéclaration_Matières,0))</f>
        <v>788</v>
      </c>
      <c r="G11" s="279">
        <f>INT(INDEX(rgDéclaration_QtéFinale,MATCH(tblMatières[[#This Row],[Matière]],rgDéclaration_Matières,0)))</f>
        <v>58408389</v>
      </c>
      <c r="H11" s="279">
        <f>tblMatières[[#This Row],[Quantité attendue net (kg)]]/1000</f>
        <v>58408.389000000003</v>
      </c>
      <c r="I11" s="279">
        <f>tblMatières[[#This Row],[Quantité déclarée (tonnes)]]</f>
        <v>58408.389000000003</v>
      </c>
      <c r="J11" s="279">
        <f>tblMatières[[#This Row],[Quantité générée (tonnes)]]*tblMatières[[#This Row],[% récupération]]</f>
        <v>45258.102855473473</v>
      </c>
      <c r="K11" s="279">
        <f>tblMatières[[#This Row],[Quantité générée (tonnes)]]-tblMatières[[#This Row],[Quantité récupérée (tonnes)]]</f>
        <v>13150.28614452653</v>
      </c>
      <c r="L11" s="433">
        <f>INDEX(Caractérisation!$C$7:$C$37,MATCH(tblMatières[[#This Row],[Matière]],Caractérisation!$B$7:$B$37,0))</f>
        <v>0.77485620867703564</v>
      </c>
      <c r="M11" s="464">
        <f>INDEX(Paramètres!$C$49:$C$79,MATCH(tblMatières[[#This Row],[Matière]],Paramètres!$B$49:$B$79,0))</f>
        <v>278.38570446687663</v>
      </c>
      <c r="N11" s="464">
        <f>INDEX(Paramètres!$D$49:$D$79,MATCH(tblMatières[[#This Row],[Matière]],Paramètres!$B$49:$B$79,0))</f>
        <v>86.352955609169825</v>
      </c>
      <c r="O11" s="282">
        <f>tblMatières[[#This Row],[Coût brut]]-tblMatières[[#This Row],[Revenu brut]]</f>
        <v>192.03274885770679</v>
      </c>
      <c r="P11" s="333">
        <f>INDEX(Paramètres!$E$49:$E$79,MATCH(tblMatières[[#This Row],[Matière]],Paramètres!$B$49:$B$79,0))</f>
        <v>0</v>
      </c>
      <c r="Q11" s="536">
        <v>57170.796000000002</v>
      </c>
      <c r="R11" s="437">
        <v>218.03</v>
      </c>
    </row>
    <row r="12" spans="2:18" x14ac:dyDescent="0.25">
      <c r="B12" s="37" t="s">
        <v>4</v>
      </c>
      <c r="C12" s="37" t="s">
        <v>35</v>
      </c>
      <c r="D12" s="37" t="s">
        <v>121</v>
      </c>
      <c r="E12" s="37">
        <v>11</v>
      </c>
      <c r="F12" s="280">
        <f>INDEX(rgDéclaration_NbDécl,MATCH(tblMatières[[#This Row],[Matière]],rgDéclaration_Matières,0))</f>
        <v>111</v>
      </c>
      <c r="G12" s="279">
        <f>INT(INDEX(rgDéclaration_QtéFinale,MATCH(tblMatières[[#This Row],[Matière]],rgDéclaration_Matières,0)))</f>
        <v>3906120</v>
      </c>
      <c r="H12" s="279">
        <f>tblMatières[[#This Row],[Quantité attendue net (kg)]]/1000</f>
        <v>3906.12</v>
      </c>
      <c r="I12" s="279">
        <f>tblMatières[[#This Row],[Quantité déclarée (tonnes)]]</f>
        <v>3906.12</v>
      </c>
      <c r="J12" s="279">
        <f>tblMatières[[#This Row],[Quantité générée (tonnes)]]*tblMatières[[#This Row],[% récupération]]</f>
        <v>1611.354102772769</v>
      </c>
      <c r="K12" s="279">
        <f>tblMatières[[#This Row],[Quantité générée (tonnes)]]-tblMatières[[#This Row],[Quantité récupérée (tonnes)]]</f>
        <v>2294.7658972272311</v>
      </c>
      <c r="L12" s="433">
        <f>INDEX(Caractérisation!$C$7:$C$37,MATCH(tblMatières[[#This Row],[Matière]],Caractérisation!$B$7:$B$37,0))</f>
        <v>0.41252037898804161</v>
      </c>
      <c r="M12" s="464">
        <f>INDEX(Paramètres!$C$49:$C$79,MATCH(tblMatières[[#This Row],[Matière]],Paramètres!$B$49:$B$79,0))</f>
        <v>278.38570446687663</v>
      </c>
      <c r="N12" s="464">
        <f>INDEX(Paramètres!$D$49:$D$79,MATCH(tblMatières[[#This Row],[Matière]],Paramètres!$B$49:$B$79,0))</f>
        <v>86.352955609169825</v>
      </c>
      <c r="O12" s="282">
        <f>tblMatières[[#This Row],[Coût brut]]-tblMatières[[#This Row],[Revenu brut]]</f>
        <v>192.03274885770679</v>
      </c>
      <c r="P12" s="333">
        <f>INDEX(Paramètres!$E$49:$E$79,MATCH(tblMatières[[#This Row],[Matière]],Paramètres!$B$49:$B$79,0))</f>
        <v>0</v>
      </c>
      <c r="Q12" s="536">
        <v>2779.5329999999999</v>
      </c>
      <c r="R12" s="437">
        <v>218.03</v>
      </c>
    </row>
    <row r="13" spans="2:18" x14ac:dyDescent="0.25">
      <c r="B13" s="37" t="s">
        <v>4</v>
      </c>
      <c r="C13" s="37" t="s">
        <v>35</v>
      </c>
      <c r="D13" s="37" t="s">
        <v>108</v>
      </c>
      <c r="E13" s="37">
        <v>12</v>
      </c>
      <c r="F13" s="280">
        <f>INDEX(rgDéclaration_NbDécl,MATCH(tblMatières[[#This Row],[Matière]],rgDéclaration_Matières,0))</f>
        <v>76</v>
      </c>
      <c r="G13" s="279">
        <f>INT(INDEX(rgDéclaration_QtéFinale,MATCH(tblMatières[[#This Row],[Matière]],rgDéclaration_Matières,0)))</f>
        <v>2207516</v>
      </c>
      <c r="H13" s="279">
        <f>tblMatières[[#This Row],[Quantité attendue net (kg)]]/1000</f>
        <v>2207.5160000000001</v>
      </c>
      <c r="I13" s="279">
        <f>tblMatières[[#This Row],[Quantité déclarée (tonnes)]]</f>
        <v>2207.5160000000001</v>
      </c>
      <c r="J13" s="279">
        <f>tblMatières[[#This Row],[Quantité générée (tonnes)]]*tblMatières[[#This Row],[% récupération]]</f>
        <v>511.60760801223461</v>
      </c>
      <c r="K13" s="279">
        <f>tblMatières[[#This Row],[Quantité générée (tonnes)]]-tblMatières[[#This Row],[Quantité récupérée (tonnes)]]</f>
        <v>1695.9083919877655</v>
      </c>
      <c r="L13" s="433">
        <f>INDEX(Caractérisation!$C$7:$C$37,MATCH(tblMatières[[#This Row],[Matière]],Caractérisation!$B$7:$B$37,0))</f>
        <v>0.23175714604661285</v>
      </c>
      <c r="M13" s="464">
        <f>INDEX(Paramètres!$C$49:$C$79,MATCH(tblMatières[[#This Row],[Matière]],Paramètres!$B$49:$B$79,0))</f>
        <v>278.38570446687663</v>
      </c>
      <c r="N13" s="464">
        <f>INDEX(Paramètres!$D$49:$D$79,MATCH(tblMatières[[#This Row],[Matière]],Paramètres!$B$49:$B$79,0))</f>
        <v>86.352955609169825</v>
      </c>
      <c r="O13" s="282">
        <f>tblMatières[[#This Row],[Coût brut]]-tblMatières[[#This Row],[Revenu brut]]</f>
        <v>192.03274885770679</v>
      </c>
      <c r="P13" s="333">
        <f>INDEX(Paramètres!$E$49:$E$79,MATCH(tblMatières[[#This Row],[Matière]],Paramètres!$B$49:$B$79,0))</f>
        <v>0</v>
      </c>
      <c r="Q13" s="536">
        <v>311.67700000000002</v>
      </c>
      <c r="R13" s="437">
        <v>218.03</v>
      </c>
    </row>
    <row r="14" spans="2:18" x14ac:dyDescent="0.25">
      <c r="B14" s="37" t="s">
        <v>4</v>
      </c>
      <c r="C14" s="37" t="s">
        <v>35</v>
      </c>
      <c r="D14" s="37" t="s">
        <v>13</v>
      </c>
      <c r="E14" s="37">
        <v>13</v>
      </c>
      <c r="F14" s="280">
        <f>INDEX(rgDéclaration_NbDécl,MATCH(tblMatières[[#This Row],[Matière]],rgDéclaration_Matières,0))</f>
        <v>1048</v>
      </c>
      <c r="G14" s="279">
        <f>INT(INDEX(rgDéclaration_QtéFinale,MATCH(tblMatières[[#This Row],[Matière]],rgDéclaration_Matières,0)))</f>
        <v>92654394</v>
      </c>
      <c r="H14" s="279">
        <f>tblMatières[[#This Row],[Quantité attendue net (kg)]]/1000</f>
        <v>92654.394</v>
      </c>
      <c r="I14" s="279">
        <f>tblMatières[[#This Row],[Quantité déclarée (tonnes)]]</f>
        <v>92654.394</v>
      </c>
      <c r="J14" s="279">
        <f>tblMatières[[#This Row],[Quantité générée (tonnes)]]*tblMatières[[#This Row],[% récupération]]</f>
        <v>57330.131093507713</v>
      </c>
      <c r="K14" s="279">
        <f>tblMatières[[#This Row],[Quantité générée (tonnes)]]-tblMatières[[#This Row],[Quantité récupérée (tonnes)]]</f>
        <v>35324.262906492288</v>
      </c>
      <c r="L14" s="433">
        <f>INDEX(Caractérisation!$C$7:$C$37,MATCH(tblMatières[[#This Row],[Matière]],Caractérisation!$B$7:$B$37,0))</f>
        <v>0.61875242628544647</v>
      </c>
      <c r="M14" s="464">
        <f>INDEX(Paramètres!$C$49:$C$79,MATCH(tblMatières[[#This Row],[Matière]],Paramètres!$B$49:$B$79,0))</f>
        <v>254.31634894760487</v>
      </c>
      <c r="N14" s="464">
        <f>INDEX(Paramètres!$D$49:$D$79,MATCH(tblMatières[[#This Row],[Matière]],Paramètres!$B$49:$B$79,0))</f>
        <v>67.188258888818027</v>
      </c>
      <c r="O14" s="282">
        <f>tblMatières[[#This Row],[Coût brut]]-tblMatières[[#This Row],[Revenu brut]]</f>
        <v>187.12809005878682</v>
      </c>
      <c r="P14" s="333">
        <f>INDEX(Paramètres!$E$49:$E$79,MATCH(tblMatières[[#This Row],[Matière]],Paramètres!$B$49:$B$79,0))</f>
        <v>0</v>
      </c>
      <c r="Q14" s="536">
        <v>87558.263999999996</v>
      </c>
      <c r="R14" s="437">
        <v>238.92</v>
      </c>
    </row>
    <row r="15" spans="2:18" x14ac:dyDescent="0.25">
      <c r="B15" s="37" t="s">
        <v>4</v>
      </c>
      <c r="C15" s="37" t="s">
        <v>35</v>
      </c>
      <c r="D15" s="37" t="s">
        <v>14</v>
      </c>
      <c r="E15" s="37">
        <v>14</v>
      </c>
      <c r="F15" s="280">
        <f>INDEX(rgDéclaration_NbDécl,MATCH(tblMatières[[#This Row],[Matière]],rgDéclaration_Matières,0))</f>
        <v>62</v>
      </c>
      <c r="G15" s="279">
        <f>INT(INDEX(rgDéclaration_QtéFinale,MATCH(tblMatières[[#This Row],[Matière]],rgDéclaration_Matières,0)))</f>
        <v>9680797</v>
      </c>
      <c r="H15" s="279">
        <f>tblMatières[[#This Row],[Quantité attendue net (kg)]]/1000</f>
        <v>9680.7970000000005</v>
      </c>
      <c r="I15" s="279">
        <f>tblMatières[[#This Row],[Quantité déclarée (tonnes)]]</f>
        <v>9680.7970000000005</v>
      </c>
      <c r="J15" s="279">
        <f>tblMatières[[#This Row],[Quantité générée (tonnes)]]*tblMatières[[#This Row],[% récupération]]</f>
        <v>7539.7734574724036</v>
      </c>
      <c r="K15" s="279">
        <f>tblMatières[[#This Row],[Quantité générée (tonnes)]]-tblMatières[[#This Row],[Quantité récupérée (tonnes)]]</f>
        <v>2141.0235425275969</v>
      </c>
      <c r="L15" s="433">
        <f>INDEX(Caractérisation!$C$7:$C$37,MATCH(tblMatières[[#This Row],[Matière]],Caractérisation!$B$7:$B$37,0))</f>
        <v>0.77883809127207226</v>
      </c>
      <c r="M15" s="464">
        <f>INDEX(Paramètres!$C$49:$C$79,MATCH(tblMatières[[#This Row],[Matière]],Paramètres!$B$49:$B$79,0))</f>
        <v>279.37555733501847</v>
      </c>
      <c r="N15" s="464">
        <f>INDEX(Paramètres!$D$49:$D$79,MATCH(tblMatières[[#This Row],[Matière]],Paramètres!$B$49:$B$79,0))</f>
        <v>62.63356136693244</v>
      </c>
      <c r="O15" s="282">
        <f>tblMatières[[#This Row],[Coût brut]]-tblMatières[[#This Row],[Revenu brut]]</f>
        <v>216.74199596808603</v>
      </c>
      <c r="P15" s="333">
        <f>INDEX(Paramètres!$E$49:$E$79,MATCH(tblMatières[[#This Row],[Matière]],Paramètres!$B$49:$B$79,0))</f>
        <v>0</v>
      </c>
      <c r="Q15" s="536">
        <v>12195.59</v>
      </c>
      <c r="R15" s="437">
        <v>225.57</v>
      </c>
    </row>
    <row r="16" spans="2:18" x14ac:dyDescent="0.25">
      <c r="B16" s="37" t="s">
        <v>4</v>
      </c>
      <c r="C16" s="37" t="s">
        <v>35</v>
      </c>
      <c r="D16" s="37" t="s">
        <v>15</v>
      </c>
      <c r="E16" s="37">
        <v>15</v>
      </c>
      <c r="F16" s="280">
        <f>INDEX(rgDéclaration_NbDécl,MATCH(tblMatières[[#This Row],[Matière]],rgDéclaration_Matières,0))</f>
        <v>497</v>
      </c>
      <c r="G16" s="279">
        <f>INT(INDEX(rgDéclaration_QtéFinale,MATCH(tblMatières[[#This Row],[Matière]],rgDéclaration_Matières,0)))</f>
        <v>13115506</v>
      </c>
      <c r="H16" s="279">
        <f>tblMatières[[#This Row],[Quantité attendue net (kg)]]/1000</f>
        <v>13115.505999999999</v>
      </c>
      <c r="I16" s="279">
        <f>tblMatières[[#This Row],[Quantité déclarée (tonnes)]]</f>
        <v>13115.505999999999</v>
      </c>
      <c r="J16" s="279">
        <f>tblMatières[[#This Row],[Quantité générée (tonnes)]]*tblMatières[[#This Row],[% récupération]]</f>
        <v>4385.0394479041151</v>
      </c>
      <c r="K16" s="279">
        <f>tblMatières[[#This Row],[Quantité générée (tonnes)]]-tblMatières[[#This Row],[Quantité récupérée (tonnes)]]</f>
        <v>8730.4665520958843</v>
      </c>
      <c r="L16" s="433">
        <f>INDEX(Caractérisation!$C$7:$C$37,MATCH(tblMatières[[#This Row],[Matière]],Caractérisation!$B$7:$B$37,0))</f>
        <v>0.33434008934951615</v>
      </c>
      <c r="M16" s="464">
        <f>INDEX(Paramètres!$C$49:$C$79,MATCH(tblMatières[[#This Row],[Matière]],Paramètres!$B$49:$B$79,0))</f>
        <v>294.4157819747079</v>
      </c>
      <c r="N16" s="464">
        <f>INDEX(Paramètres!$D$49:$D$79,MATCH(tblMatières[[#This Row],[Matière]],Paramètres!$B$49:$B$79,0))</f>
        <v>30.532988275193137</v>
      </c>
      <c r="O16" s="282">
        <f>tblMatières[[#This Row],[Coût brut]]-tblMatières[[#This Row],[Revenu brut]]</f>
        <v>263.88279369951476</v>
      </c>
      <c r="P16" s="333">
        <f>INDEX(Paramètres!$E$49:$E$79,MATCH(tblMatières[[#This Row],[Matière]],Paramètres!$B$49:$B$79,0))</f>
        <v>0</v>
      </c>
      <c r="Q16" s="536">
        <v>12555.716</v>
      </c>
      <c r="R16" s="437">
        <v>341.22</v>
      </c>
    </row>
    <row r="17" spans="2:18" x14ac:dyDescent="0.25">
      <c r="B17" s="37" t="s">
        <v>4</v>
      </c>
      <c r="C17" s="37" t="s">
        <v>35</v>
      </c>
      <c r="D17" s="37" t="s">
        <v>16</v>
      </c>
      <c r="E17" s="37">
        <v>16</v>
      </c>
      <c r="F17" s="280">
        <f>INDEX(rgDéclaration_NbDécl,MATCH(tblMatières[[#This Row],[Matière]],rgDéclaration_Matières,0))</f>
        <v>58</v>
      </c>
      <c r="G17" s="279">
        <f>INT(INDEX(rgDéclaration_QtéFinale,MATCH(tblMatières[[#This Row],[Matière]],rgDéclaration_Matières,0)))</f>
        <v>5539040</v>
      </c>
      <c r="H17" s="279">
        <f>tblMatières[[#This Row],[Quantité attendue net (kg)]]/1000</f>
        <v>5539.04</v>
      </c>
      <c r="I17" s="279">
        <f>tblMatières[[#This Row],[Quantité déclarée (tonnes)]]</f>
        <v>5539.04</v>
      </c>
      <c r="J17" s="279">
        <f>tblMatières[[#This Row],[Quantité générée (tonnes)]]*tblMatières[[#This Row],[% récupération]]</f>
        <v>3043.685539740221</v>
      </c>
      <c r="K17" s="279">
        <f>tblMatières[[#This Row],[Quantité générée (tonnes)]]-tblMatières[[#This Row],[Quantité récupérée (tonnes)]]</f>
        <v>2495.354460259779</v>
      </c>
      <c r="L17" s="433">
        <f>INDEX(Caractérisation!$C$7:$C$37,MATCH(tblMatières[[#This Row],[Matière]],Caractérisation!$B$7:$B$37,0))</f>
        <v>0.54949694166141083</v>
      </c>
      <c r="M17" s="464">
        <f>INDEX(Paramètres!$C$49:$C$79,MATCH(tblMatières[[#This Row],[Matière]],Paramètres!$B$49:$B$79,0))</f>
        <v>282.06334093912164</v>
      </c>
      <c r="N17" s="464">
        <f>INDEX(Paramètres!$D$49:$D$79,MATCH(tblMatières[[#This Row],[Matière]],Paramètres!$B$49:$B$79,0))</f>
        <v>54.290309037935479</v>
      </c>
      <c r="O17" s="282">
        <f>tblMatières[[#This Row],[Coût brut]]-tblMatières[[#This Row],[Revenu brut]]</f>
        <v>227.77303190118616</v>
      </c>
      <c r="P17" s="333">
        <f>INDEX(Paramètres!$E$49:$E$79,MATCH(tblMatières[[#This Row],[Matière]],Paramètres!$B$49:$B$79,0))</f>
        <v>0</v>
      </c>
      <c r="Q17" s="536">
        <v>6206.1570000000002</v>
      </c>
      <c r="R17" s="437">
        <v>278.8</v>
      </c>
    </row>
    <row r="18" spans="2:18" x14ac:dyDescent="0.25">
      <c r="B18" s="37" t="s">
        <v>4</v>
      </c>
      <c r="C18" s="37" t="s">
        <v>22</v>
      </c>
      <c r="D18" s="37" t="s">
        <v>24</v>
      </c>
      <c r="E18" s="37">
        <v>20</v>
      </c>
      <c r="F18" s="280">
        <f>INDEX(rgDéclaration_NbDécl,MATCH(tblMatières[[#This Row],[Matière]],rgDéclaration_Matières,0))</f>
        <v>284</v>
      </c>
      <c r="G18" s="279">
        <f>INT(INDEX(rgDéclaration_QtéFinale,MATCH(tblMatières[[#This Row],[Matière]],rgDéclaration_Matières,0)))</f>
        <v>31023693</v>
      </c>
      <c r="H18" s="279">
        <f>tblMatières[[#This Row],[Quantité attendue net (kg)]]/1000</f>
        <v>31023.692999999999</v>
      </c>
      <c r="I18" s="279">
        <f>tblMatières[[#This Row],[Quantité déclarée (tonnes)]]</f>
        <v>31023.692999999999</v>
      </c>
      <c r="J18" s="279">
        <f>tblMatières[[#This Row],[Quantité générée (tonnes)]]*tblMatières[[#This Row],[% récupération]]</f>
        <v>21038.603224586255</v>
      </c>
      <c r="K18" s="279">
        <f>tblMatières[[#This Row],[Quantité générée (tonnes)]]-tblMatières[[#This Row],[Quantité récupérée (tonnes)]]</f>
        <v>9985.0897754137441</v>
      </c>
      <c r="L18" s="433">
        <f>INDEX(Caractérisation!$C$7:$C$37,MATCH(tblMatières[[#This Row],[Matière]],Caractérisation!$B$7:$B$37,0))</f>
        <v>0.67814631947867254</v>
      </c>
      <c r="M18" s="464">
        <f>INDEX(Paramètres!$C$49:$C$79,MATCH(tblMatières[[#This Row],[Matière]],Paramètres!$B$49:$B$79,0))</f>
        <v>485.58227755221094</v>
      </c>
      <c r="N18" s="464">
        <f>INDEX(Paramètres!$D$49:$D$79,MATCH(tblMatières[[#This Row],[Matière]],Paramètres!$B$49:$B$79,0))</f>
        <v>243.16636648701947</v>
      </c>
      <c r="O18" s="282">
        <f>tblMatières[[#This Row],[Coût brut]]-tblMatières[[#This Row],[Revenu brut]]</f>
        <v>242.41591106519147</v>
      </c>
      <c r="P18" s="333">
        <f>INDEX(Paramètres!$E$49:$E$79,MATCH(tblMatières[[#This Row],[Matière]],Paramètres!$B$49:$B$79,0))</f>
        <v>0</v>
      </c>
      <c r="Q18" s="536">
        <v>23176.743999999999</v>
      </c>
      <c r="R18" s="437">
        <v>300.39999999999998</v>
      </c>
    </row>
    <row r="19" spans="2:18" x14ac:dyDescent="0.25">
      <c r="B19" s="37" t="s">
        <v>4</v>
      </c>
      <c r="C19" s="37" t="s">
        <v>22</v>
      </c>
      <c r="D19" s="37" t="s">
        <v>238</v>
      </c>
      <c r="E19" s="37">
        <v>21</v>
      </c>
      <c r="F19" s="280">
        <f>INDEX(rgDéclaration_NbDécl,MATCH(tblMatières[[#This Row],[Matière]],rgDéclaration_Matières,0))</f>
        <v>392</v>
      </c>
      <c r="G19" s="279">
        <f>INT(INDEX(rgDéclaration_QtéFinale,MATCH(tblMatières[[#This Row],[Matière]],rgDéclaration_Matières,0)))</f>
        <v>20311442</v>
      </c>
      <c r="H19" s="279">
        <f>tblMatières[[#This Row],[Quantité attendue net (kg)]]/1000</f>
        <v>20311.441999999999</v>
      </c>
      <c r="I19" s="279">
        <f>tblMatières[[#This Row],[Quantité déclarée (tonnes)]]</f>
        <v>20311.441999999999</v>
      </c>
      <c r="J19" s="279">
        <f>tblMatières[[#This Row],[Quantité générée (tonnes)]]*tblMatières[[#This Row],[% récupération]]</f>
        <v>13818.283875375495</v>
      </c>
      <c r="K19" s="279">
        <f>tblMatières[[#This Row],[Quantité générée (tonnes)]]-tblMatières[[#This Row],[Quantité récupérée (tonnes)]]</f>
        <v>6493.1581246245041</v>
      </c>
      <c r="L19" s="433">
        <f>INDEX(Caractérisation!$C$7:$C$37,MATCH(tblMatières[[#This Row],[Matière]],Caractérisation!$B$7:$B$37,0))</f>
        <v>0.68032017989542526</v>
      </c>
      <c r="M19" s="464">
        <f>INDEX(Paramètres!$C$49:$C$79,MATCH(tblMatières[[#This Row],[Matière]],Paramètres!$B$49:$B$79,0))</f>
        <v>423.77927263218061</v>
      </c>
      <c r="N19" s="464">
        <f>INDEX(Paramètres!$D$49:$D$79,MATCH(tblMatières[[#This Row],[Matière]],Paramètres!$B$49:$B$79,0))</f>
        <v>343.42774011939889</v>
      </c>
      <c r="O19" s="282">
        <f>tblMatières[[#This Row],[Coût brut]]-tblMatières[[#This Row],[Revenu brut]]</f>
        <v>80.351532512781716</v>
      </c>
      <c r="P19" s="333">
        <f>INDEX(Paramètres!$E$49:$E$79,MATCH(tblMatières[[#This Row],[Matière]],Paramètres!$B$49:$B$79,0))</f>
        <v>0</v>
      </c>
      <c r="Q19" s="536">
        <v>16609.435000000001</v>
      </c>
      <c r="R19" s="437">
        <v>162.66</v>
      </c>
    </row>
    <row r="20" spans="2:18" x14ac:dyDescent="0.25">
      <c r="B20" s="37" t="s">
        <v>4</v>
      </c>
      <c r="C20" s="37" t="s">
        <v>22</v>
      </c>
      <c r="D20" s="37" t="s">
        <v>23</v>
      </c>
      <c r="E20" s="37">
        <v>22</v>
      </c>
      <c r="F20" s="280">
        <f>INDEX(rgDéclaration_NbDécl,MATCH(tblMatières[[#This Row],[Matière]],rgDéclaration_Matières,0))</f>
        <v>561</v>
      </c>
      <c r="G20" s="279">
        <f>INT(INDEX(rgDéclaration_QtéFinale,MATCH(tblMatières[[#This Row],[Matière]],rgDéclaration_Matières,0)))</f>
        <v>15885589</v>
      </c>
      <c r="H20" s="279">
        <f>tblMatières[[#This Row],[Quantité attendue net (kg)]]/1000</f>
        <v>15885.589</v>
      </c>
      <c r="I20" s="279">
        <f>tblMatières[[#This Row],[Quantité déclarée (tonnes)]]</f>
        <v>15885.589</v>
      </c>
      <c r="J20" s="279">
        <f>tblMatières[[#This Row],[Quantité générée (tonnes)]]*tblMatières[[#This Row],[% récupération]]</f>
        <v>2566.4755872332394</v>
      </c>
      <c r="K20" s="279">
        <f>tblMatières[[#This Row],[Quantité générée (tonnes)]]-tblMatières[[#This Row],[Quantité récupérée (tonnes)]]</f>
        <v>13319.113412766761</v>
      </c>
      <c r="L20" s="433">
        <f>INDEX(Caractérisation!$C$7:$C$37,MATCH(tblMatières[[#This Row],[Matière]],Caractérisation!$B$7:$B$37,0))</f>
        <v>0.16155998919733094</v>
      </c>
      <c r="M20" s="464">
        <f>INDEX(Paramètres!$C$49:$C$79,MATCH(tblMatières[[#This Row],[Matière]],Paramètres!$B$49:$B$79,0))</f>
        <v>564.98976183310936</v>
      </c>
      <c r="N20" s="464">
        <f>INDEX(Paramètres!$D$49:$D$79,MATCH(tblMatières[[#This Row],[Matière]],Paramètres!$B$49:$B$79,0))</f>
        <v>-56.983486765191337</v>
      </c>
      <c r="O20" s="282">
        <f>tblMatières[[#This Row],[Coût brut]]-tblMatières[[#This Row],[Revenu brut]]</f>
        <v>621.97324859830064</v>
      </c>
      <c r="P20" s="333">
        <f>INDEX(Paramètres!$E$49:$E$79,MATCH(tblMatières[[#This Row],[Matière]],Paramètres!$B$49:$B$79,0))</f>
        <v>0</v>
      </c>
      <c r="Q20" s="536">
        <v>12064.946</v>
      </c>
      <c r="R20" s="437">
        <v>543.38</v>
      </c>
    </row>
    <row r="21" spans="2:18" x14ac:dyDescent="0.25">
      <c r="B21" s="37" t="s">
        <v>4</v>
      </c>
      <c r="C21" s="37" t="s">
        <v>22</v>
      </c>
      <c r="D21" s="37" t="s">
        <v>25</v>
      </c>
      <c r="E21" s="37">
        <v>23</v>
      </c>
      <c r="F21" s="280">
        <f>INDEX(rgDéclaration_NbDécl,MATCH(tblMatières[[#This Row],[Matière]],rgDéclaration_Matières,0))</f>
        <v>806</v>
      </c>
      <c r="G21" s="279">
        <f>INT(INDEX(rgDéclaration_QtéFinale,MATCH(tblMatières[[#This Row],[Matière]],rgDéclaration_Matières,0)))</f>
        <v>20483854</v>
      </c>
      <c r="H21" s="279">
        <f>tblMatières[[#This Row],[Quantité attendue net (kg)]]/1000</f>
        <v>20483.853999999999</v>
      </c>
      <c r="I21" s="279">
        <f>tblMatières[[#This Row],[Quantité déclarée (tonnes)]]</f>
        <v>20483.853999999999</v>
      </c>
      <c r="J21" s="279">
        <f>tblMatières[[#This Row],[Quantité générée (tonnes)]]*tblMatières[[#This Row],[% récupération]]</f>
        <v>7126.9914428520478</v>
      </c>
      <c r="K21" s="279">
        <f>tblMatières[[#This Row],[Quantité générée (tonnes)]]-tblMatières[[#This Row],[Quantité récupérée (tonnes)]]</f>
        <v>13356.862557147952</v>
      </c>
      <c r="L21" s="433">
        <f>INDEX(Caractérisation!$C$7:$C$37,MATCH(tblMatières[[#This Row],[Matière]],Caractérisation!$B$7:$B$37,0))</f>
        <v>0.34793215392240384</v>
      </c>
      <c r="M21" s="464">
        <f>INDEX(Paramètres!$C$49:$C$79,MATCH(tblMatières[[#This Row],[Matière]],Paramètres!$B$49:$B$79,0))</f>
        <v>587.80400427291488</v>
      </c>
      <c r="N21" s="464">
        <f>INDEX(Paramètres!$D$49:$D$79,MATCH(tblMatières[[#This Row],[Matière]],Paramètres!$B$49:$B$79,0))</f>
        <v>-6.0704036765635694</v>
      </c>
      <c r="O21" s="282">
        <f>tblMatières[[#This Row],[Coût brut]]-tblMatières[[#This Row],[Revenu brut]]</f>
        <v>593.8744079494785</v>
      </c>
      <c r="P21" s="333">
        <f>INDEX(Paramètres!$E$49:$E$79,MATCH(tblMatières[[#This Row],[Matière]],Paramètres!$B$49:$B$79,0))</f>
        <v>0</v>
      </c>
      <c r="Q21" s="536">
        <v>21920.366999999998</v>
      </c>
      <c r="R21" s="437">
        <v>543.38</v>
      </c>
    </row>
    <row r="22" spans="2:18" x14ac:dyDescent="0.25">
      <c r="B22" s="37" t="s">
        <v>4</v>
      </c>
      <c r="C22" s="37" t="s">
        <v>22</v>
      </c>
      <c r="D22" s="37" t="s">
        <v>187</v>
      </c>
      <c r="E22" s="37">
        <v>24</v>
      </c>
      <c r="F22" s="280">
        <f>INDEX(rgDéclaration_NbDécl,MATCH(tblMatières[[#This Row],[Matière]],rgDéclaration_Matières,0))</f>
        <v>218</v>
      </c>
      <c r="G22" s="279">
        <f>INT(INDEX(rgDéclaration_QtéFinale,MATCH(tblMatières[[#This Row],[Matière]],rgDéclaration_Matières,0)))</f>
        <v>10065867</v>
      </c>
      <c r="H22" s="279">
        <f>tblMatières[[#This Row],[Quantité attendue net (kg)]]/1000</f>
        <v>10065.867</v>
      </c>
      <c r="I22" s="279">
        <f>tblMatières[[#This Row],[Quantité déclarée (tonnes)]]</f>
        <v>10065.867</v>
      </c>
      <c r="J22" s="279">
        <f>tblMatières[[#This Row],[Quantité générée (tonnes)]]*tblMatières[[#This Row],[% récupération]]</f>
        <v>1586.2200315921225</v>
      </c>
      <c r="K22" s="279">
        <f>tblMatières[[#This Row],[Quantité générée (tonnes)]]-tblMatières[[#This Row],[Quantité récupérée (tonnes)]]</f>
        <v>8479.6469684078784</v>
      </c>
      <c r="L22" s="433">
        <f>INDEX(Caractérisation!$C$7:$C$37,MATCH(tblMatières[[#This Row],[Matière]],Caractérisation!$B$7:$B$37,0))</f>
        <v>0.15758404433439488</v>
      </c>
      <c r="M22" s="464">
        <f>INDEX(Paramètres!$C$49:$C$79,MATCH(tblMatières[[#This Row],[Matière]],Paramètres!$B$49:$B$79,0))</f>
        <v>587.80400427291488</v>
      </c>
      <c r="N22" s="464">
        <f>INDEX(Paramètres!$D$49:$D$79,MATCH(tblMatières[[#This Row],[Matière]],Paramètres!$B$49:$B$79,0))</f>
        <v>-6.0704036765635694</v>
      </c>
      <c r="O22" s="282">
        <f>tblMatières[[#This Row],[Coût brut]]-tblMatières[[#This Row],[Revenu brut]]</f>
        <v>593.8744079494785</v>
      </c>
      <c r="P22" s="333">
        <f>INDEX(Paramètres!$E$49:$E$79,MATCH(tblMatières[[#This Row],[Matière]],Paramètres!$B$49:$B$79,0))</f>
        <v>0</v>
      </c>
      <c r="Q22" s="536">
        <v>9207.6</v>
      </c>
      <c r="R22" s="437">
        <v>543.38</v>
      </c>
    </row>
    <row r="23" spans="2:18" x14ac:dyDescent="0.25">
      <c r="B23" s="37" t="s">
        <v>4</v>
      </c>
      <c r="C23" s="37" t="s">
        <v>22</v>
      </c>
      <c r="D23" s="37" t="s">
        <v>152</v>
      </c>
      <c r="E23" s="37">
        <v>25</v>
      </c>
      <c r="F23" s="280">
        <f>INDEX(rgDéclaration_NbDécl,MATCH(tblMatières[[#This Row],[Matière]],rgDéclaration_Matières,0))</f>
        <v>132</v>
      </c>
      <c r="G23" s="279">
        <f>INT(INDEX(rgDéclaration_QtéFinale,MATCH(tblMatières[[#This Row],[Matière]],rgDéclaration_Matières,0)))</f>
        <v>3369379</v>
      </c>
      <c r="H23" s="279">
        <f>tblMatières[[#This Row],[Quantité attendue net (kg)]]/1000</f>
        <v>3369.3789999999999</v>
      </c>
      <c r="I23" s="279">
        <f>tblMatières[[#This Row],[Quantité déclarée (tonnes)]]</f>
        <v>3369.3789999999999</v>
      </c>
      <c r="J23" s="279">
        <f>tblMatières[[#This Row],[Quantité générée (tonnes)]]*tblMatières[[#This Row],[% récupération]]</f>
        <v>388.92322480010046</v>
      </c>
      <c r="K23" s="279">
        <f>tblMatières[[#This Row],[Quantité générée (tonnes)]]-tblMatières[[#This Row],[Quantité récupérée (tonnes)]]</f>
        <v>2980.4557751998996</v>
      </c>
      <c r="L23" s="433">
        <f>INDEX(Caractérisation!$C$7:$C$37,MATCH(tblMatières[[#This Row],[Matière]],Caractérisation!$B$7:$B$37,0))</f>
        <v>0.11542875550660833</v>
      </c>
      <c r="M23" s="464">
        <f>INDEX(Paramètres!$C$49:$C$79,MATCH(tblMatières[[#This Row],[Matière]],Paramètres!$B$49:$B$79,0))</f>
        <v>2107.1480041836717</v>
      </c>
      <c r="N23" s="464">
        <f>INDEX(Paramètres!$D$49:$D$79,MATCH(tblMatières[[#This Row],[Matière]],Paramètres!$B$49:$B$79,0))</f>
        <v>-27.388529188881876</v>
      </c>
      <c r="O23" s="282">
        <f>tblMatières[[#This Row],[Coût brut]]-tblMatières[[#This Row],[Revenu brut]]</f>
        <v>2134.5365333725535</v>
      </c>
      <c r="P23" s="333">
        <f>INDEX(Paramètres!$E$49:$E$79,MATCH(tblMatières[[#This Row],[Matière]],Paramètres!$B$49:$B$79,0))</f>
        <v>0</v>
      </c>
      <c r="Q23" s="536">
        <v>4326.0749999999998</v>
      </c>
      <c r="R23" s="437">
        <v>943.35</v>
      </c>
    </row>
    <row r="24" spans="2:18" x14ac:dyDescent="0.25">
      <c r="B24" s="37" t="s">
        <v>4</v>
      </c>
      <c r="C24" s="37" t="s">
        <v>22</v>
      </c>
      <c r="D24" s="37" t="s">
        <v>153</v>
      </c>
      <c r="E24" s="37">
        <v>26</v>
      </c>
      <c r="F24" s="432">
        <f>INDEX(rgDéclaration_NbDécl,MATCH(tblMatières[[#This Row],[Matière]],rgDéclaration_Matières,0))</f>
        <v>249</v>
      </c>
      <c r="G24" s="279">
        <f>INT(INDEX(rgDéclaration_QtéFinale,MATCH(tblMatières[[#This Row],[Matière]],rgDéclaration_Matières,0)))</f>
        <v>1085035</v>
      </c>
      <c r="H24" s="279">
        <f>tblMatières[[#This Row],[Quantité attendue net (kg)]]/1000</f>
        <v>1085.0350000000001</v>
      </c>
      <c r="I24" s="279">
        <f>tblMatières[[#This Row],[Quantité déclarée (tonnes)]]</f>
        <v>1085.0350000000001</v>
      </c>
      <c r="J24" s="279">
        <f>tblMatières[[#This Row],[Quantité générée (tonnes)]]*tblMatières[[#This Row],[% récupération]]</f>
        <v>407.00702106329919</v>
      </c>
      <c r="K24" s="279">
        <f>tblMatières[[#This Row],[Quantité générée (tonnes)]]-tblMatières[[#This Row],[Quantité récupérée (tonnes)]]</f>
        <v>678.02797893670095</v>
      </c>
      <c r="L24" s="433">
        <f>INDEX(Caractérisation!$C$7:$C$37,MATCH(tblMatières[[#This Row],[Matière]],Caractérisation!$B$7:$B$37,0))</f>
        <v>0.37510957809038342</v>
      </c>
      <c r="M24" s="464">
        <f>INDEX(Paramètres!$C$49:$C$79,MATCH(tblMatières[[#This Row],[Matière]],Paramètres!$B$49:$B$79,0))</f>
        <v>2107.1480041836717</v>
      </c>
      <c r="N24" s="464">
        <f>INDEX(Paramètres!$D$49:$D$79,MATCH(tblMatières[[#This Row],[Matière]],Paramètres!$B$49:$B$79,0))</f>
        <v>-27.388529188881876</v>
      </c>
      <c r="O24" s="282">
        <f>tblMatières[[#This Row],[Coût brut]]-tblMatières[[#This Row],[Revenu brut]]</f>
        <v>2134.5365333725535</v>
      </c>
      <c r="P24" s="333">
        <f>INDEX(Paramètres!$E$49:$E$79,MATCH(tblMatières[[#This Row],[Matière]],Paramètres!$B$49:$B$79,0))</f>
        <v>0</v>
      </c>
      <c r="Q24" s="536">
        <v>1850.1969999999999</v>
      </c>
      <c r="R24" s="437">
        <v>943.35</v>
      </c>
    </row>
    <row r="25" spans="2:18" x14ac:dyDescent="0.25">
      <c r="B25" s="37" t="s">
        <v>4</v>
      </c>
      <c r="C25" s="37" t="s">
        <v>22</v>
      </c>
      <c r="D25" s="37" t="s">
        <v>26</v>
      </c>
      <c r="E25" s="37">
        <v>27</v>
      </c>
      <c r="F25" s="280">
        <f>INDEX(rgDéclaration_NbDécl,MATCH(tblMatières[[#This Row],[Matière]],rgDéclaration_Matières,0))</f>
        <v>281</v>
      </c>
      <c r="G25" s="279">
        <f>INT(INDEX(rgDéclaration_QtéFinale,MATCH(tblMatières[[#This Row],[Matière]],rgDéclaration_Matières,0)))</f>
        <v>4235371</v>
      </c>
      <c r="H25" s="279">
        <f>tblMatières[[#This Row],[Quantité attendue net (kg)]]/1000</f>
        <v>4235.3710000000001</v>
      </c>
      <c r="I25" s="279">
        <f>tblMatières[[#This Row],[Quantité déclarée (tonnes)]]</f>
        <v>4235.3710000000001</v>
      </c>
      <c r="J25" s="279">
        <f>tblMatières[[#This Row],[Quantité générée (tonnes)]]*tblMatières[[#This Row],[% récupération]]</f>
        <v>1053.7743325675031</v>
      </c>
      <c r="K25" s="279">
        <f>tblMatières[[#This Row],[Quantité générée (tonnes)]]-tblMatières[[#This Row],[Quantité récupérée (tonnes)]]</f>
        <v>3181.5966674324973</v>
      </c>
      <c r="L25" s="433">
        <f>INDEX(Caractérisation!$C$7:$C$37,MATCH(tblMatières[[#This Row],[Matière]],Caractérisation!$B$7:$B$37,0))</f>
        <v>0.24880331205164863</v>
      </c>
      <c r="M25" s="464">
        <f>INDEX(Paramètres!$C$49:$C$79,MATCH(tblMatières[[#This Row],[Matière]],Paramètres!$B$49:$B$79,0))</f>
        <v>421.65758123833888</v>
      </c>
      <c r="N25" s="464">
        <f>INDEX(Paramètres!$D$49:$D$79,MATCH(tblMatières[[#This Row],[Matière]],Paramètres!$B$49:$B$79,0))</f>
        <v>3.2881730068444437</v>
      </c>
      <c r="O25" s="282">
        <f>tblMatières[[#This Row],[Coût brut]]-tblMatières[[#This Row],[Revenu brut]]</f>
        <v>418.36940823149445</v>
      </c>
      <c r="P25" s="333">
        <f>INDEX(Paramètres!$E$49:$E$79,MATCH(tblMatières[[#This Row],[Matière]],Paramètres!$B$49:$B$79,0))</f>
        <v>0</v>
      </c>
      <c r="Q25" s="536">
        <v>5060.2809999999999</v>
      </c>
      <c r="R25" s="437">
        <v>943.35</v>
      </c>
    </row>
    <row r="26" spans="2:18" x14ac:dyDescent="0.25">
      <c r="B26" s="37" t="s">
        <v>4</v>
      </c>
      <c r="C26" s="37" t="s">
        <v>22</v>
      </c>
      <c r="D26" s="37" t="s">
        <v>122</v>
      </c>
      <c r="E26" s="37">
        <v>28</v>
      </c>
      <c r="F26" s="280">
        <f>INDEX(rgDéclaration_NbDécl,MATCH(tblMatières[[#This Row],[Matière]],rgDéclaration_Matières,0))</f>
        <v>228</v>
      </c>
      <c r="G26" s="279">
        <f>INT(INDEX(rgDéclaration_QtéFinale,MATCH(tblMatières[[#This Row],[Matière]],rgDéclaration_Matières,0)))</f>
        <v>8932504</v>
      </c>
      <c r="H26" s="279">
        <f>tblMatières[[#This Row],[Quantité attendue net (kg)]]/1000</f>
        <v>8932.5040000000008</v>
      </c>
      <c r="I26" s="279">
        <f>tblMatières[[#This Row],[Quantité déclarée (tonnes)]]</f>
        <v>8932.5040000000008</v>
      </c>
      <c r="J26" s="279">
        <f>tblMatières[[#This Row],[Quantité générée (tonnes)]]*tblMatières[[#This Row],[% récupération]]</f>
        <v>5114.7294039183307</v>
      </c>
      <c r="K26" s="279">
        <f>tblMatières[[#This Row],[Quantité générée (tonnes)]]-tblMatières[[#This Row],[Quantité récupérée (tonnes)]]</f>
        <v>3817.7745960816701</v>
      </c>
      <c r="L26" s="433">
        <f>INDEX(Caractérisation!$C$7:$C$37,MATCH(tblMatières[[#This Row],[Matière]],Caractérisation!$B$7:$B$37,0))</f>
        <v>0.57259749381789593</v>
      </c>
      <c r="M26" s="464">
        <f>INDEX(Paramètres!$C$49:$C$79,MATCH(tblMatières[[#This Row],[Matière]],Paramètres!$B$49:$B$79,0))</f>
        <v>403.74260967105903</v>
      </c>
      <c r="N26" s="464">
        <f>INDEX(Paramètres!$D$49:$D$79,MATCH(tblMatières[[#This Row],[Matière]],Paramètres!$B$49:$B$79,0))</f>
        <v>34.09974362793097</v>
      </c>
      <c r="O26" s="282">
        <f>tblMatières[[#This Row],[Coût brut]]-tblMatières[[#This Row],[Revenu brut]]</f>
        <v>369.64286604312804</v>
      </c>
      <c r="P26" s="333">
        <f>INDEX(Paramètres!$E$49:$E$79,MATCH(tblMatières[[#This Row],[Matière]],Paramètres!$B$49:$B$79,0))</f>
        <v>0</v>
      </c>
      <c r="Q26" s="536">
        <v>7067.826</v>
      </c>
      <c r="R26" s="437">
        <v>300.39999999999998</v>
      </c>
    </row>
    <row r="27" spans="2:18" x14ac:dyDescent="0.25">
      <c r="B27" s="37" t="s">
        <v>4</v>
      </c>
      <c r="C27" s="37" t="s">
        <v>22</v>
      </c>
      <c r="D27" s="37" t="s">
        <v>188</v>
      </c>
      <c r="E27" s="37">
        <v>29</v>
      </c>
      <c r="F27" s="280">
        <f>INDEX(rgDéclaration_NbDécl,MATCH(tblMatières[[#This Row],[Matière]],rgDéclaration_Matières,0))</f>
        <v>133</v>
      </c>
      <c r="G27" s="279">
        <f>INT(INDEX(rgDéclaration_QtéFinale,MATCH(tblMatières[[#This Row],[Matière]],rgDéclaration_Matières,0)))</f>
        <v>350810</v>
      </c>
      <c r="H27" s="279">
        <f>tblMatières[[#This Row],[Quantité attendue net (kg)]]/1000</f>
        <v>350.81</v>
      </c>
      <c r="I27" s="279">
        <f>tblMatières[[#This Row],[Quantité déclarée (tonnes)]]</f>
        <v>350.81</v>
      </c>
      <c r="J27" s="279">
        <f>tblMatières[[#This Row],[Quantité générée (tonnes)]]*tblMatières[[#This Row],[% récupération]]</f>
        <v>191.54226000000003</v>
      </c>
      <c r="K27" s="279">
        <f>tblMatières[[#This Row],[Quantité générée (tonnes)]]-tblMatières[[#This Row],[Quantité récupérée (tonnes)]]</f>
        <v>159.26773999999997</v>
      </c>
      <c r="L27" s="433">
        <f>INDEX(Caractérisation!$C$7:$C$37,MATCH(tblMatières[[#This Row],[Matière]],Caractérisation!$B$7:$B$37,0))</f>
        <v>0.54600000000000004</v>
      </c>
      <c r="M27" s="464">
        <f>INDEX(Paramètres!$C$49:$C$79,MATCH(tblMatières[[#This Row],[Matière]],Paramètres!$B$49:$B$79,0))</f>
        <v>504.28305820922424</v>
      </c>
      <c r="N27" s="464">
        <f>INDEX(Paramètres!$D$49:$D$79,MATCH(tblMatières[[#This Row],[Matière]],Paramètres!$B$49:$B$79,0))</f>
        <v>225.12933377023276</v>
      </c>
      <c r="O27" s="282">
        <f>tblMatières[[#This Row],[Coût brut]]-tblMatières[[#This Row],[Revenu brut]]</f>
        <v>279.1537244389915</v>
      </c>
      <c r="P27" s="333">
        <f>INDEX(Paramètres!$E$49:$E$79,MATCH(tblMatières[[#This Row],[Matière]],Paramètres!$B$49:$B$79,0))</f>
        <v>0</v>
      </c>
      <c r="Q27" s="536">
        <v>88.733999999999995</v>
      </c>
      <c r="R27" s="437">
        <v>943.35</v>
      </c>
    </row>
    <row r="28" spans="2:18" x14ac:dyDescent="0.25">
      <c r="B28" s="37" t="s">
        <v>4</v>
      </c>
      <c r="C28" s="37" t="s">
        <v>22</v>
      </c>
      <c r="D28" s="37" t="s">
        <v>231</v>
      </c>
      <c r="E28" s="37">
        <v>30</v>
      </c>
      <c r="F28" s="280">
        <f>INDEX(rgDéclaration_NbDécl,MATCH(tblMatières[[#This Row],[Matière]],rgDéclaration_Matières,0))</f>
        <v>871</v>
      </c>
      <c r="G28" s="279">
        <f>INT(INDEX(rgDéclaration_QtéFinale,MATCH(tblMatières[[#This Row],[Matière]],rgDéclaration_Matières,0)))</f>
        <v>37245541</v>
      </c>
      <c r="H28" s="279">
        <f>tblMatières[[#This Row],[Quantité attendue net (kg)]]/1000</f>
        <v>37245.540999999997</v>
      </c>
      <c r="I28" s="279">
        <f>tblMatières[[#This Row],[Quantité déclarée (tonnes)]]</f>
        <v>37245.540999999997</v>
      </c>
      <c r="J28" s="279">
        <f>tblMatières[[#This Row],[Quantité générée (tonnes)]]*tblMatières[[#This Row],[% récupération]]</f>
        <v>16276.301416999999</v>
      </c>
      <c r="K28" s="279">
        <f>tblMatières[[#This Row],[Quantité générée (tonnes)]]-tblMatières[[#This Row],[Quantité récupérée (tonnes)]]</f>
        <v>20969.239582999999</v>
      </c>
      <c r="L28" s="433">
        <f>INDEX(Caractérisation!$C$7:$C$37,MATCH(tblMatières[[#This Row],[Matière]],Caractérisation!$B$7:$B$37,0))</f>
        <v>0.437</v>
      </c>
      <c r="M28" s="464">
        <f>INDEX(Paramètres!$C$49:$C$79,MATCH(tblMatières[[#This Row],[Matière]],Paramètres!$B$49:$B$79,0))</f>
        <v>387.48795659841801</v>
      </c>
      <c r="N28" s="464">
        <f>INDEX(Paramètres!$D$49:$D$79,MATCH(tblMatières[[#This Row],[Matière]],Paramètres!$B$49:$B$79,0))</f>
        <v>80.5</v>
      </c>
      <c r="O28" s="282">
        <f>tblMatières[[#This Row],[Coût brut]]-tblMatières[[#This Row],[Revenu brut]]</f>
        <v>306.98795659841801</v>
      </c>
      <c r="P28" s="333">
        <f>INDEX(Paramètres!$E$49:$E$79,MATCH(tblMatières[[#This Row],[Matière]],Paramètres!$B$49:$B$79,0))</f>
        <v>0</v>
      </c>
      <c r="Q28" s="536">
        <v>33319.733</v>
      </c>
      <c r="R28" s="437">
        <v>359.48</v>
      </c>
    </row>
    <row r="29" spans="2:18" x14ac:dyDescent="0.25">
      <c r="B29" s="37" t="s">
        <v>4</v>
      </c>
      <c r="C29" s="37" t="s">
        <v>37</v>
      </c>
      <c r="D29" s="37" t="s">
        <v>186</v>
      </c>
      <c r="E29" s="37">
        <v>40</v>
      </c>
      <c r="F29" s="280">
        <f>INDEX(rgDéclaration_NbDécl,MATCH(tblMatières[[#This Row],[Matière]],rgDéclaration_Matières,0))</f>
        <v>114</v>
      </c>
      <c r="G29" s="279">
        <f>INT(INDEX(rgDéclaration_QtéFinale,MATCH(tblMatières[[#This Row],[Matière]],rgDéclaration_Matières,0)))</f>
        <v>4037584</v>
      </c>
      <c r="H29" s="279">
        <f>tblMatières[[#This Row],[Quantité attendue net (kg)]]/1000</f>
        <v>4037.5839999999998</v>
      </c>
      <c r="I29" s="279">
        <f>tblMatières[[#This Row],[Quantité déclarée (tonnes)]]</f>
        <v>4037.5839999999998</v>
      </c>
      <c r="J29" s="279">
        <f>tblMatières[[#This Row],[Quantité générée (tonnes)]]*tblMatières[[#This Row],[% récupération]]</f>
        <v>1946.6893408439882</v>
      </c>
      <c r="K29" s="279">
        <f>tblMatières[[#This Row],[Quantité générée (tonnes)]]-tblMatières[[#This Row],[Quantité récupérée (tonnes)]]</f>
        <v>2090.8946591560116</v>
      </c>
      <c r="L29" s="433">
        <f>INDEX(Caractérisation!$C$7:$C$37,MATCH(tblMatières[[#This Row],[Matière]],Caractérisation!$B$7:$B$37,0))</f>
        <v>0.48214212777839133</v>
      </c>
      <c r="M29" s="464">
        <f>INDEX(Paramètres!$C$49:$C$79,MATCH(tblMatières[[#This Row],[Matière]],Paramètres!$B$49:$B$79,0))</f>
        <v>487.37291073022038</v>
      </c>
      <c r="N29" s="464">
        <f>INDEX(Paramètres!$D$49:$D$79,MATCH(tblMatières[[#This Row],[Matière]],Paramètres!$B$49:$B$79,0))</f>
        <v>619.94436211496202</v>
      </c>
      <c r="O29" s="282">
        <f>tblMatières[[#This Row],[Coût brut]]-tblMatières[[#This Row],[Revenu brut]]</f>
        <v>-132.57145138474164</v>
      </c>
      <c r="P29" s="333">
        <f>INDEX(Paramètres!$E$49:$E$79,MATCH(tblMatières[[#This Row],[Matière]],Paramètres!$B$49:$B$79,0))</f>
        <v>0</v>
      </c>
      <c r="Q29" s="536">
        <v>2927.57</v>
      </c>
      <c r="R29" s="437">
        <v>205.15</v>
      </c>
    </row>
    <row r="30" spans="2:18" x14ac:dyDescent="0.25">
      <c r="B30" s="37" t="s">
        <v>4</v>
      </c>
      <c r="C30" s="37" t="s">
        <v>37</v>
      </c>
      <c r="D30" s="37" t="s">
        <v>21</v>
      </c>
      <c r="E30" s="37">
        <v>41</v>
      </c>
      <c r="F30" s="280">
        <f>INDEX(rgDéclaration_NbDécl,MATCH(tblMatières[[#This Row],[Matière]],rgDéclaration_Matières,0))</f>
        <v>310</v>
      </c>
      <c r="G30" s="279">
        <f>INT(INDEX(rgDéclaration_QtéFinale,MATCH(tblMatières[[#This Row],[Matière]],rgDéclaration_Matières,0)))</f>
        <v>3963257</v>
      </c>
      <c r="H30" s="279">
        <f>tblMatières[[#This Row],[Quantité attendue net (kg)]]/1000</f>
        <v>3963.2570000000001</v>
      </c>
      <c r="I30" s="279">
        <f>tblMatières[[#This Row],[Quantité déclarée (tonnes)]]</f>
        <v>3963.2570000000001</v>
      </c>
      <c r="J30" s="279">
        <f>tblMatières[[#This Row],[Quantité générée (tonnes)]]*tblMatières[[#This Row],[% récupération]]</f>
        <v>397.62020471495117</v>
      </c>
      <c r="K30" s="279">
        <f>tblMatières[[#This Row],[Quantité générée (tonnes)]]-tblMatières[[#This Row],[Quantité récupérée (tonnes)]]</f>
        <v>3565.6367952850487</v>
      </c>
      <c r="L30" s="433">
        <f>INDEX(Caractérisation!$C$7:$C$37,MATCH(tblMatières[[#This Row],[Matière]],Caractérisation!$B$7:$B$37,0))</f>
        <v>0.10032662648799993</v>
      </c>
      <c r="M30" s="464">
        <f>INDEX(Paramètres!$C$49:$C$79,MATCH(tblMatières[[#This Row],[Matière]],Paramètres!$B$49:$B$79,0))</f>
        <v>438.10204187717375</v>
      </c>
      <c r="N30" s="464">
        <f>INDEX(Paramètres!$D$49:$D$79,MATCH(tblMatières[[#This Row],[Matière]],Paramètres!$B$49:$B$79,0))</f>
        <v>416.27482029640657</v>
      </c>
      <c r="O30" s="282">
        <f>tblMatières[[#This Row],[Coût brut]]-tblMatières[[#This Row],[Revenu brut]]</f>
        <v>21.827221580767173</v>
      </c>
      <c r="P30" s="333">
        <f>INDEX(Paramètres!$E$49:$E$79,MATCH(tblMatières[[#This Row],[Matière]],Paramètres!$B$49:$B$79,0))</f>
        <v>0</v>
      </c>
      <c r="Q30" s="536">
        <v>2080.9479999999999</v>
      </c>
      <c r="R30" s="437">
        <v>205.15</v>
      </c>
    </row>
    <row r="31" spans="2:18" x14ac:dyDescent="0.25">
      <c r="B31" s="37" t="s">
        <v>4</v>
      </c>
      <c r="C31" s="37" t="s">
        <v>36</v>
      </c>
      <c r="D31" s="37" t="s">
        <v>185</v>
      </c>
      <c r="E31" s="37">
        <v>50</v>
      </c>
      <c r="F31" s="280">
        <f>INDEX(rgDéclaration_NbDécl,MATCH(tblMatières[[#This Row],[Matière]],rgDéclaration_Matières,0))</f>
        <v>147</v>
      </c>
      <c r="G31" s="279">
        <f>INT(INDEX(rgDéclaration_QtéFinale,MATCH(tblMatières[[#This Row],[Matière]],rgDéclaration_Matières,0)))</f>
        <v>1741763</v>
      </c>
      <c r="H31" s="279">
        <f>tblMatières[[#This Row],[Quantité attendue net (kg)]]/1000</f>
        <v>1741.7629999999999</v>
      </c>
      <c r="I31" s="279">
        <f>tblMatières[[#This Row],[Quantité déclarée (tonnes)]]</f>
        <v>1741.7629999999999</v>
      </c>
      <c r="J31" s="279">
        <f>tblMatières[[#This Row],[Quantité générée (tonnes)]]*tblMatières[[#This Row],[% récupération]]</f>
        <v>305.33105390000003</v>
      </c>
      <c r="K31" s="279">
        <f>tblMatières[[#This Row],[Quantité générée (tonnes)]]-tblMatières[[#This Row],[Quantité récupérée (tonnes)]]</f>
        <v>1436.4319461</v>
      </c>
      <c r="L31" s="433">
        <f>INDEX(Caractérisation!$C$7:$C$37,MATCH(tblMatières[[#This Row],[Matière]],Caractérisation!$B$7:$B$37,0))</f>
        <v>0.17530000000000001</v>
      </c>
      <c r="M31" s="464">
        <f>INDEX(Paramètres!$C$49:$C$79,MATCH(tblMatières[[#This Row],[Matière]],Paramètres!$B$49:$B$79,0))</f>
        <v>247.73301928789681</v>
      </c>
      <c r="N31" s="464">
        <f>INDEX(Paramètres!$D$49:$D$79,MATCH(tblMatières[[#This Row],[Matière]],Paramètres!$B$49:$B$79,0))</f>
        <v>220.4214274716486</v>
      </c>
      <c r="O31" s="282">
        <f>tblMatières[[#This Row],[Coût brut]]-tblMatières[[#This Row],[Revenu brut]]</f>
        <v>27.31159181624821</v>
      </c>
      <c r="P31" s="333">
        <f>INDEX(Paramètres!$E$49:$E$79,MATCH(tblMatières[[#This Row],[Matière]],Paramètres!$B$49:$B$79,0))</f>
        <v>0</v>
      </c>
      <c r="Q31" s="536">
        <v>1674.4069999999999</v>
      </c>
      <c r="R31" s="437">
        <v>175.97</v>
      </c>
    </row>
    <row r="32" spans="2:18" x14ac:dyDescent="0.25">
      <c r="B32" s="37" t="s">
        <v>4</v>
      </c>
      <c r="C32" s="37" t="s">
        <v>36</v>
      </c>
      <c r="D32" s="37" t="s">
        <v>20</v>
      </c>
      <c r="E32" s="37">
        <v>51</v>
      </c>
      <c r="F32" s="280">
        <f>INDEX(rgDéclaration_NbDécl,MATCH(tblMatières[[#This Row],[Matière]],rgDéclaration_Matières,0))</f>
        <v>305</v>
      </c>
      <c r="G32" s="279">
        <f>INT(INDEX(rgDéclaration_QtéFinale,MATCH(tblMatières[[#This Row],[Matière]],rgDéclaration_Matières,0)))</f>
        <v>25404030</v>
      </c>
      <c r="H32" s="279">
        <f>tblMatières[[#This Row],[Quantité attendue net (kg)]]/1000</f>
        <v>25404.03</v>
      </c>
      <c r="I32" s="279">
        <f>tblMatières[[#This Row],[Quantité déclarée (tonnes)]]</f>
        <v>25404.03</v>
      </c>
      <c r="J32" s="279">
        <f>tblMatières[[#This Row],[Quantité générée (tonnes)]]*tblMatières[[#This Row],[% récupération]]</f>
        <v>16476.642154247114</v>
      </c>
      <c r="K32" s="279">
        <f>tblMatières[[#This Row],[Quantité générée (tonnes)]]-tblMatières[[#This Row],[Quantité récupérée (tonnes)]]</f>
        <v>8927.3878457528845</v>
      </c>
      <c r="L32" s="433">
        <f>INDEX(Caractérisation!$C$7:$C$37,MATCH(tblMatières[[#This Row],[Matière]],Caractérisation!$B$7:$B$37,0))</f>
        <v>0.64858379376213593</v>
      </c>
      <c r="M32" s="464">
        <f>INDEX(Paramètres!$C$49:$C$79,MATCH(tblMatières[[#This Row],[Matière]],Paramètres!$B$49:$B$79,0))</f>
        <v>267.14340795673553</v>
      </c>
      <c r="N32" s="464">
        <f>INDEX(Paramètres!$D$49:$D$79,MATCH(tblMatières[[#This Row],[Matière]],Paramètres!$B$49:$B$79,0))</f>
        <v>193.72461469381176</v>
      </c>
      <c r="O32" s="282">
        <f>tblMatières[[#This Row],[Coût brut]]-tblMatières[[#This Row],[Revenu brut]]</f>
        <v>73.418793262923771</v>
      </c>
      <c r="P32" s="333">
        <f>INDEX(Paramètres!$E$49:$E$79,MATCH(tblMatières[[#This Row],[Matière]],Paramètres!$B$49:$B$79,0))</f>
        <v>0</v>
      </c>
      <c r="Q32" s="536">
        <v>26909.557000000001</v>
      </c>
      <c r="R32" s="437">
        <v>175.97</v>
      </c>
    </row>
    <row r="33" spans="2:18" x14ac:dyDescent="0.25">
      <c r="B33" s="37" t="s">
        <v>4</v>
      </c>
      <c r="C33" s="37" t="s">
        <v>17</v>
      </c>
      <c r="D33" s="37" t="s">
        <v>18</v>
      </c>
      <c r="E33" s="37">
        <v>60</v>
      </c>
      <c r="F33" s="280">
        <f>INDEX(rgDéclaration_NbDécl,MATCH(tblMatières[[#This Row],[Matière]],rgDéclaration_Matières,0))</f>
        <v>263</v>
      </c>
      <c r="G33" s="279">
        <f>INT(INDEX(rgDéclaration_QtéFinale,MATCH(tblMatières[[#This Row],[Matière]],rgDéclaration_Matières,0)))</f>
        <v>64834577</v>
      </c>
      <c r="H33" s="279">
        <f>tblMatières[[#This Row],[Quantité attendue net (kg)]]/1000</f>
        <v>64834.576999999997</v>
      </c>
      <c r="I33" s="279">
        <f>tblMatières[[#This Row],[Quantité déclarée (tonnes)]]</f>
        <v>64834.576999999997</v>
      </c>
      <c r="J33" s="279">
        <f>tblMatières[[#This Row],[Quantité générée (tonnes)]]*tblMatières[[#This Row],[% récupération]]</f>
        <v>51115.154889588826</v>
      </c>
      <c r="K33" s="279">
        <f>tblMatières[[#This Row],[Quantité générée (tonnes)]]-tblMatières[[#This Row],[Quantité récupérée (tonnes)]]</f>
        <v>13719.422110411171</v>
      </c>
      <c r="L33" s="433">
        <f>INDEX(Caractérisation!$C$7:$C$37,MATCH(tblMatières[[#This Row],[Matière]],Caractérisation!$B$7:$B$37,0))</f>
        <v>0.78839343533603723</v>
      </c>
      <c r="M33" s="464">
        <f>INDEX(Paramètres!$C$49:$C$79,MATCH(tblMatières[[#This Row],[Matière]],Paramètres!$B$49:$B$79,0))</f>
        <v>177.24199976861934</v>
      </c>
      <c r="N33" s="464">
        <f>INDEX(Paramètres!$D$49:$D$79,MATCH(tblMatières[[#This Row],[Matière]],Paramètres!$B$49:$B$79,0))</f>
        <v>-25.679460854742036</v>
      </c>
      <c r="O33" s="282">
        <f>tblMatières[[#This Row],[Coût brut]]-tblMatières[[#This Row],[Revenu brut]]</f>
        <v>202.92146062336138</v>
      </c>
      <c r="P33" s="333">
        <f>INDEX(Paramètres!$E$49:$E$79,MATCH(tblMatières[[#This Row],[Matière]],Paramètres!$B$49:$B$79,0))</f>
        <v>258289.31814834653</v>
      </c>
      <c r="Q33" s="536">
        <v>54262.898999999998</v>
      </c>
      <c r="R33" s="437">
        <v>208.19</v>
      </c>
    </row>
    <row r="34" spans="2:18" x14ac:dyDescent="0.25">
      <c r="B34" s="37" t="s">
        <v>4</v>
      </c>
      <c r="C34" s="37" t="s">
        <v>17</v>
      </c>
      <c r="D34" s="37" t="s">
        <v>19</v>
      </c>
      <c r="E34" s="37">
        <v>61</v>
      </c>
      <c r="F34" s="280">
        <f>INDEX(rgDéclaration_NbDécl,MATCH(tblMatières[[#This Row],[Matière]],rgDéclaration_Matières,0))</f>
        <v>173</v>
      </c>
      <c r="G34" s="279">
        <f>INT(INDEX(rgDéclaration_QtéFinale,MATCH(tblMatières[[#This Row],[Matière]],rgDéclaration_Matières,0)))</f>
        <v>85096618</v>
      </c>
      <c r="H34" s="279">
        <f>tblMatières[[#This Row],[Quantité attendue net (kg)]]/1000</f>
        <v>85096.618000000002</v>
      </c>
      <c r="I34" s="279">
        <f>tblMatières[[#This Row],[Quantité déclarée (tonnes)]]</f>
        <v>85096.618000000002</v>
      </c>
      <c r="J34" s="279">
        <f>tblMatières[[#This Row],[Quantité générée (tonnes)]]*tblMatières[[#This Row],[% récupération]]</f>
        <v>67089.615000498467</v>
      </c>
      <c r="K34" s="279">
        <f>tblMatières[[#This Row],[Quantité générée (tonnes)]]-tblMatières[[#This Row],[Quantité récupérée (tonnes)]]</f>
        <v>18007.002999501536</v>
      </c>
      <c r="L34" s="433">
        <f>INDEX(Caractérisation!$C$7:$C$37,MATCH(tblMatières[[#This Row],[Matière]],Caractérisation!$B$7:$B$37,0))</f>
        <v>0.78839343533603723</v>
      </c>
      <c r="M34" s="464">
        <f>INDEX(Paramètres!$C$49:$C$79,MATCH(tblMatières[[#This Row],[Matière]],Paramètres!$B$49:$B$79,0))</f>
        <v>177.82919091545182</v>
      </c>
      <c r="N34" s="464">
        <f>INDEX(Paramètres!$D$49:$D$79,MATCH(tblMatières[[#This Row],[Matière]],Paramètres!$B$49:$B$79,0))</f>
        <v>-26.749130807779906</v>
      </c>
      <c r="O34" s="282">
        <f>tblMatières[[#This Row],[Coût brut]]-tblMatières[[#This Row],[Revenu brut]]</f>
        <v>204.57832172323174</v>
      </c>
      <c r="P34" s="333">
        <f>INDEX(Paramètres!$E$49:$E$79,MATCH(tblMatières[[#This Row],[Matière]],Paramètres!$B$49:$B$79,0))</f>
        <v>339009.65158190171</v>
      </c>
      <c r="Q34" s="536">
        <v>82425.142000000007</v>
      </c>
      <c r="R34" s="437">
        <v>209.35</v>
      </c>
    </row>
    <row r="35" spans="2:18" x14ac:dyDescent="0.25">
      <c r="B35" s="35" t="s">
        <v>4</v>
      </c>
      <c r="C35" s="35" t="s">
        <v>17</v>
      </c>
      <c r="D35" s="35" t="s">
        <v>239</v>
      </c>
      <c r="E35" s="35">
        <v>80</v>
      </c>
      <c r="F35" s="644">
        <f>INDEX(rgDéclaration_NbDécl,MATCH(tblMatières[[#This Row],[Matière]],rgDéclaration_Matières,0))</f>
        <v>3</v>
      </c>
      <c r="G35" s="645">
        <f>INT(INDEX(rgDéclaration_QtéFinale,MATCH(tblMatières[[#This Row],[Matière]],rgDéclaration_Matières,0)))</f>
        <v>678000</v>
      </c>
      <c r="H35" s="645">
        <f>tblMatières[[#This Row],[Quantité attendue net (kg)]]/1000</f>
        <v>678</v>
      </c>
      <c r="I35" s="645">
        <f>tblMatières[[#This Row],[Quantité déclarée (tonnes)]]</f>
        <v>678</v>
      </c>
      <c r="J35" s="645">
        <f>tblMatières[[#This Row],[Quantité générée (tonnes)]]*tblMatières[[#This Row],[% récupération]]</f>
        <v>166.78800000000001</v>
      </c>
      <c r="K35" s="645">
        <f>tblMatières[[#This Row],[Quantité générée (tonnes)]]-tblMatières[[#This Row],[Quantité récupérée (tonnes)]]</f>
        <v>511.21199999999999</v>
      </c>
      <c r="L35" s="646">
        <f>INDEX(Caractérisation!$C$7:$C$37,MATCH(tblMatières[[#This Row],[Matière]],Caractérisation!$B$7:$B$37,0))</f>
        <v>0.246</v>
      </c>
      <c r="M35" s="654">
        <f>INDEX(Paramètres!$C$49:$C$79,MATCH(tblMatières[[#This Row],[Matière]],Paramètres!$B$49:$B$79,0))</f>
        <v>184.98</v>
      </c>
      <c r="N35" s="654">
        <f>INDEX(Paramètres!$D$49:$D$79,MATCH(tblMatières[[#This Row],[Matière]],Paramètres!$B$49:$B$79,0))</f>
        <v>-57.51</v>
      </c>
      <c r="O35" s="653">
        <f>tblMatières[[#This Row],[Coût brut]]-tblMatières[[#This Row],[Revenu brut]]</f>
        <v>242.48999999999998</v>
      </c>
      <c r="P35" s="647">
        <f>INDEX(Paramètres!$E$49:$E$79,MATCH(tblMatières[[#This Row],[Matière]],Paramètres!$B$49:$B$79,0))</f>
        <v>2701.0302697517204</v>
      </c>
      <c r="Q35" s="536"/>
      <c r="R35" s="648"/>
    </row>
    <row r="37" spans="2:18" x14ac:dyDescent="0.25">
      <c r="D37" s="448"/>
      <c r="E37" s="448"/>
      <c r="F37" s="448"/>
      <c r="G37" s="448"/>
      <c r="H37" s="448"/>
      <c r="I37" s="448"/>
      <c r="J37" s="448"/>
      <c r="K37" s="448"/>
      <c r="L37" s="448"/>
      <c r="M37" s="448"/>
    </row>
    <row r="38" spans="2:18" ht="34.5" customHeight="1" x14ac:dyDescent="0.25">
      <c r="D38" s="379"/>
      <c r="E38" s="426"/>
      <c r="F38" s="274"/>
      <c r="G38" s="274"/>
      <c r="H38" s="274"/>
      <c r="I38" s="274"/>
      <c r="J38" s="442"/>
      <c r="K38" s="440"/>
      <c r="L38" s="447"/>
      <c r="M38" s="447"/>
      <c r="Q38" s="438"/>
    </row>
    <row r="39" spans="2:18" x14ac:dyDescent="0.25">
      <c r="D39" s="380"/>
      <c r="E39" s="426"/>
      <c r="F39" s="274"/>
      <c r="G39" s="274"/>
      <c r="H39" s="274"/>
      <c r="I39" s="274"/>
      <c r="J39" s="442"/>
      <c r="K39" s="440"/>
      <c r="L39" s="447"/>
      <c r="M39" s="447"/>
    </row>
    <row r="40" spans="2:18" x14ac:dyDescent="0.25">
      <c r="D40" s="434"/>
      <c r="E40" s="426"/>
      <c r="F40" s="274"/>
      <c r="G40" s="274"/>
      <c r="H40" s="274"/>
      <c r="I40" s="274"/>
      <c r="J40" s="442"/>
      <c r="K40" s="440"/>
      <c r="L40" s="447"/>
      <c r="M40" s="447"/>
    </row>
    <row r="41" spans="2:18" x14ac:dyDescent="0.25">
      <c r="D41" s="434"/>
      <c r="E41" s="426"/>
      <c r="F41" s="274"/>
      <c r="G41" s="274"/>
      <c r="H41" s="274"/>
      <c r="I41" s="274"/>
      <c r="J41" s="442"/>
      <c r="K41" s="440"/>
      <c r="L41" s="447"/>
      <c r="M41" s="447"/>
    </row>
    <row r="42" spans="2:18" x14ac:dyDescent="0.25">
      <c r="D42" s="434"/>
      <c r="E42" s="426"/>
      <c r="F42" s="274"/>
      <c r="G42" s="274"/>
      <c r="H42" s="274"/>
      <c r="I42" s="274"/>
      <c r="J42" s="442"/>
      <c r="K42" s="440"/>
      <c r="L42" s="447"/>
      <c r="M42" s="447"/>
    </row>
    <row r="43" spans="2:18" x14ac:dyDescent="0.25">
      <c r="D43" s="434"/>
      <c r="E43" s="426"/>
      <c r="F43" s="274"/>
      <c r="G43" s="274"/>
      <c r="H43" s="274"/>
      <c r="I43" s="274"/>
      <c r="J43" s="442"/>
      <c r="K43" s="440"/>
      <c r="L43" s="447"/>
      <c r="M43" s="447"/>
    </row>
    <row r="44" spans="2:18" x14ac:dyDescent="0.25">
      <c r="D44" s="434"/>
      <c r="E44" s="426"/>
      <c r="F44" s="274"/>
      <c r="G44" s="274"/>
      <c r="H44" s="274"/>
      <c r="I44" s="274"/>
      <c r="J44" s="442"/>
      <c r="K44" s="440"/>
      <c r="L44" s="447"/>
      <c r="M44" s="447"/>
    </row>
    <row r="45" spans="2:18" x14ac:dyDescent="0.25">
      <c r="D45" s="434"/>
      <c r="E45" s="426"/>
      <c r="F45" s="274"/>
      <c r="G45" s="274"/>
      <c r="H45" s="274"/>
      <c r="I45" s="274"/>
      <c r="J45" s="442"/>
      <c r="K45" s="440"/>
      <c r="L45" s="447"/>
      <c r="M45" s="447"/>
    </row>
    <row r="46" spans="2:18" x14ac:dyDescent="0.25">
      <c r="D46" s="379"/>
      <c r="E46" s="426"/>
      <c r="F46" s="274"/>
      <c r="G46" s="274"/>
      <c r="H46" s="274"/>
      <c r="I46" s="274"/>
      <c r="J46" s="442"/>
      <c r="K46" s="440"/>
      <c r="L46" s="447"/>
      <c r="M46" s="447"/>
    </row>
    <row r="47" spans="2:18" x14ac:dyDescent="0.25">
      <c r="D47" s="380"/>
      <c r="E47" s="426"/>
      <c r="F47" s="274"/>
      <c r="G47" s="274"/>
      <c r="H47" s="274"/>
      <c r="I47" s="274"/>
      <c r="J47" s="442"/>
      <c r="K47" s="440"/>
      <c r="L47" s="447"/>
      <c r="M47" s="447"/>
    </row>
    <row r="48" spans="2:18" x14ac:dyDescent="0.25">
      <c r="D48" s="434"/>
      <c r="E48" s="426"/>
      <c r="F48" s="274"/>
      <c r="G48" s="274"/>
      <c r="H48" s="274"/>
      <c r="I48" s="274"/>
      <c r="J48" s="442"/>
      <c r="K48" s="440"/>
      <c r="L48" s="447"/>
      <c r="M48" s="447"/>
    </row>
    <row r="49" spans="4:13" x14ac:dyDescent="0.25">
      <c r="D49" s="434"/>
      <c r="E49" s="426"/>
      <c r="F49" s="274"/>
      <c r="G49" s="274"/>
      <c r="H49" s="274"/>
      <c r="I49" s="274"/>
      <c r="J49" s="442"/>
      <c r="K49" s="440"/>
      <c r="L49" s="447"/>
      <c r="M49" s="447"/>
    </row>
    <row r="50" spans="4:13" x14ac:dyDescent="0.25">
      <c r="D50" s="434"/>
      <c r="E50" s="426"/>
      <c r="F50" s="274"/>
      <c r="G50" s="274"/>
      <c r="H50" s="274"/>
      <c r="I50" s="274"/>
      <c r="J50" s="442"/>
      <c r="K50" s="440"/>
      <c r="L50" s="447"/>
      <c r="M50" s="447"/>
    </row>
    <row r="51" spans="4:13" x14ac:dyDescent="0.25">
      <c r="D51" s="434"/>
      <c r="E51" s="426"/>
      <c r="F51" s="274"/>
      <c r="G51" s="274"/>
      <c r="H51" s="274"/>
      <c r="I51" s="274"/>
      <c r="J51" s="442"/>
      <c r="K51" s="440"/>
      <c r="L51" s="447"/>
      <c r="M51" s="447"/>
    </row>
    <row r="52" spans="4:13" x14ac:dyDescent="0.25">
      <c r="D52" s="434"/>
      <c r="E52" s="426"/>
      <c r="F52" s="274"/>
      <c r="G52" s="274"/>
      <c r="H52" s="274"/>
      <c r="I52" s="274"/>
      <c r="J52" s="442"/>
      <c r="K52" s="440"/>
      <c r="L52" s="447"/>
      <c r="M52" s="447"/>
    </row>
    <row r="53" spans="4:13" x14ac:dyDescent="0.25">
      <c r="D53" s="434"/>
      <c r="E53" s="426"/>
      <c r="F53" s="274"/>
      <c r="G53" s="274"/>
      <c r="H53" s="274"/>
      <c r="I53" s="274"/>
      <c r="J53" s="442"/>
      <c r="K53" s="440"/>
      <c r="L53" s="447"/>
      <c r="M53" s="447"/>
    </row>
    <row r="54" spans="4:13" x14ac:dyDescent="0.25">
      <c r="D54" s="434"/>
      <c r="E54" s="426"/>
      <c r="F54" s="274"/>
      <c r="G54" s="274"/>
      <c r="H54" s="274"/>
      <c r="I54" s="274"/>
      <c r="J54" s="442"/>
      <c r="K54" s="440"/>
      <c r="L54" s="447"/>
      <c r="M54" s="447"/>
    </row>
    <row r="55" spans="4:13" x14ac:dyDescent="0.25">
      <c r="D55" s="380"/>
      <c r="E55" s="426"/>
      <c r="F55" s="274"/>
      <c r="G55" s="274"/>
      <c r="H55" s="274"/>
      <c r="I55" s="274"/>
      <c r="J55" s="442"/>
      <c r="K55" s="440"/>
      <c r="L55" s="447"/>
      <c r="M55" s="447"/>
    </row>
    <row r="56" spans="4:13" x14ac:dyDescent="0.25">
      <c r="D56" s="434"/>
      <c r="E56" s="426"/>
      <c r="F56" s="274"/>
      <c r="G56" s="274"/>
      <c r="H56" s="274"/>
      <c r="I56" s="274"/>
      <c r="J56" s="442"/>
      <c r="K56" s="440"/>
      <c r="L56" s="447"/>
      <c r="M56" s="447"/>
    </row>
    <row r="57" spans="4:13" x14ac:dyDescent="0.25">
      <c r="D57" s="434"/>
      <c r="E57" s="426"/>
      <c r="F57" s="274"/>
      <c r="G57" s="274"/>
      <c r="H57" s="274"/>
      <c r="I57" s="274"/>
      <c r="J57" s="442"/>
      <c r="K57" s="440"/>
      <c r="L57" s="447"/>
      <c r="M57" s="447"/>
    </row>
    <row r="58" spans="4:13" x14ac:dyDescent="0.25">
      <c r="D58" s="434"/>
      <c r="E58" s="426"/>
      <c r="F58" s="274"/>
      <c r="G58" s="274"/>
      <c r="H58" s="274"/>
      <c r="I58" s="274"/>
      <c r="J58" s="442"/>
      <c r="K58" s="440"/>
      <c r="L58" s="447"/>
      <c r="M58" s="447"/>
    </row>
    <row r="59" spans="4:13" x14ac:dyDescent="0.25">
      <c r="D59" s="434"/>
      <c r="E59" s="426"/>
      <c r="F59" s="274"/>
      <c r="G59" s="274"/>
      <c r="H59" s="274"/>
      <c r="I59" s="274"/>
      <c r="J59" s="442"/>
      <c r="K59" s="440"/>
      <c r="L59" s="447"/>
      <c r="M59" s="447"/>
    </row>
    <row r="60" spans="4:13" x14ac:dyDescent="0.25">
      <c r="D60" s="434"/>
      <c r="E60" s="426"/>
      <c r="F60" s="274"/>
      <c r="G60" s="274"/>
      <c r="H60" s="274"/>
      <c r="I60" s="274"/>
      <c r="J60" s="442"/>
      <c r="K60" s="440"/>
      <c r="L60" s="447"/>
      <c r="M60" s="447"/>
    </row>
    <row r="61" spans="4:13" x14ac:dyDescent="0.25">
      <c r="D61" s="434"/>
      <c r="E61" s="426"/>
      <c r="F61" s="274"/>
      <c r="G61" s="274"/>
      <c r="H61" s="274"/>
      <c r="I61" s="274"/>
      <c r="J61" s="442"/>
      <c r="K61" s="440"/>
      <c r="L61" s="447"/>
      <c r="M61" s="447"/>
    </row>
    <row r="62" spans="4:13" x14ac:dyDescent="0.25">
      <c r="D62" s="434"/>
      <c r="E62" s="426"/>
      <c r="F62" s="274"/>
      <c r="G62" s="274"/>
      <c r="H62" s="274"/>
      <c r="I62" s="274"/>
      <c r="J62" s="442"/>
      <c r="K62" s="440"/>
      <c r="L62" s="447"/>
      <c r="M62" s="447"/>
    </row>
    <row r="63" spans="4:13" x14ac:dyDescent="0.25">
      <c r="D63" s="434"/>
      <c r="E63" s="426"/>
      <c r="F63" s="274"/>
      <c r="G63" s="274"/>
      <c r="H63" s="274"/>
      <c r="I63" s="274"/>
      <c r="J63" s="442"/>
      <c r="K63" s="440"/>
      <c r="L63" s="447"/>
      <c r="M63" s="447"/>
    </row>
    <row r="64" spans="4:13" x14ac:dyDescent="0.25">
      <c r="D64" s="434"/>
      <c r="E64" s="426"/>
      <c r="F64" s="274"/>
      <c r="G64" s="274"/>
      <c r="H64" s="274"/>
      <c r="I64" s="274"/>
      <c r="J64" s="442"/>
      <c r="K64" s="440"/>
      <c r="L64" s="447"/>
      <c r="M64" s="447"/>
    </row>
    <row r="65" spans="4:13" x14ac:dyDescent="0.25">
      <c r="D65" s="434"/>
      <c r="E65" s="426"/>
      <c r="F65" s="274"/>
      <c r="G65" s="274"/>
      <c r="H65" s="274"/>
      <c r="I65" s="274"/>
      <c r="J65" s="442"/>
      <c r="K65" s="440"/>
      <c r="L65" s="447"/>
      <c r="M65" s="447"/>
    </row>
    <row r="66" spans="4:13" x14ac:dyDescent="0.25">
      <c r="D66" s="434"/>
      <c r="E66" s="426"/>
      <c r="F66" s="274"/>
      <c r="G66" s="274"/>
      <c r="H66" s="274"/>
      <c r="I66" s="274"/>
      <c r="J66" s="442"/>
      <c r="K66" s="440"/>
      <c r="L66" s="447"/>
      <c r="M66" s="447"/>
    </row>
    <row r="67" spans="4:13" x14ac:dyDescent="0.25">
      <c r="D67" s="380"/>
      <c r="E67" s="426"/>
      <c r="F67" s="274"/>
      <c r="G67" s="274"/>
      <c r="H67" s="274"/>
      <c r="I67" s="274"/>
      <c r="J67" s="442"/>
      <c r="K67" s="440"/>
      <c r="L67" s="447"/>
      <c r="M67" s="447"/>
    </row>
    <row r="68" spans="4:13" x14ac:dyDescent="0.25">
      <c r="D68" s="434"/>
      <c r="E68" s="426"/>
      <c r="F68" s="274"/>
      <c r="G68" s="274"/>
      <c r="H68" s="274"/>
      <c r="I68" s="274"/>
      <c r="J68" s="442"/>
      <c r="K68" s="440"/>
      <c r="L68" s="447"/>
      <c r="M68" s="447"/>
    </row>
    <row r="69" spans="4:13" x14ac:dyDescent="0.25">
      <c r="D69" s="434"/>
      <c r="E69" s="426"/>
      <c r="F69" s="274"/>
      <c r="G69" s="274"/>
      <c r="H69" s="274"/>
      <c r="I69" s="274"/>
      <c r="J69" s="442"/>
      <c r="K69" s="440"/>
      <c r="L69" s="447"/>
      <c r="M69" s="447"/>
    </row>
    <row r="70" spans="4:13" x14ac:dyDescent="0.25">
      <c r="D70" s="380"/>
      <c r="E70" s="426"/>
      <c r="F70" s="274"/>
      <c r="G70" s="274"/>
      <c r="H70" s="274"/>
      <c r="I70" s="274"/>
      <c r="J70" s="442"/>
      <c r="K70" s="440"/>
      <c r="L70" s="447"/>
      <c r="M70" s="447"/>
    </row>
    <row r="71" spans="4:13" x14ac:dyDescent="0.25">
      <c r="D71" s="434"/>
      <c r="E71" s="426"/>
      <c r="F71" s="274"/>
      <c r="G71" s="274"/>
      <c r="H71" s="274"/>
      <c r="I71" s="274"/>
      <c r="J71" s="442"/>
      <c r="K71" s="440"/>
      <c r="L71" s="447"/>
      <c r="M71" s="447"/>
    </row>
    <row r="72" spans="4:13" x14ac:dyDescent="0.25">
      <c r="D72" s="434"/>
      <c r="E72" s="426"/>
      <c r="F72" s="274"/>
      <c r="G72" s="274"/>
      <c r="H72" s="274"/>
      <c r="I72" s="274"/>
      <c r="J72" s="442"/>
      <c r="K72" s="440"/>
      <c r="L72" s="447"/>
      <c r="M72" s="447"/>
    </row>
    <row r="73" spans="4:13" x14ac:dyDescent="0.25">
      <c r="D73" s="380"/>
      <c r="E73" s="426"/>
      <c r="F73" s="274"/>
      <c r="G73" s="274"/>
      <c r="H73" s="274"/>
      <c r="I73" s="274"/>
      <c r="J73" s="442"/>
      <c r="K73" s="440"/>
      <c r="L73" s="447"/>
      <c r="M73" s="447"/>
    </row>
    <row r="74" spans="4:13" x14ac:dyDescent="0.25">
      <c r="D74" s="434"/>
      <c r="E74" s="426"/>
      <c r="F74" s="274"/>
      <c r="G74" s="274"/>
      <c r="H74" s="274"/>
      <c r="I74" s="274"/>
      <c r="J74" s="442"/>
      <c r="K74" s="440"/>
      <c r="L74" s="447"/>
      <c r="M74" s="447"/>
    </row>
    <row r="75" spans="4:13" x14ac:dyDescent="0.25">
      <c r="D75" s="434"/>
      <c r="E75" s="426"/>
      <c r="F75" s="274"/>
      <c r="G75" s="274"/>
      <c r="H75" s="274"/>
      <c r="I75" s="274"/>
      <c r="J75" s="442"/>
      <c r="K75" s="440"/>
      <c r="L75" s="447"/>
      <c r="M75" s="447"/>
    </row>
    <row r="76" spans="4:13" x14ac:dyDescent="0.25">
      <c r="D76" s="379"/>
      <c r="E76" s="426"/>
      <c r="F76" s="274"/>
      <c r="G76" s="274"/>
      <c r="H76" s="274"/>
      <c r="I76" s="274"/>
      <c r="J76" s="442"/>
      <c r="K76" s="440"/>
      <c r="L76" s="447"/>
      <c r="M76" s="447"/>
    </row>
    <row r="83" spans="4:5" x14ac:dyDescent="0.25">
      <c r="D83" s="379"/>
      <c r="E83" s="441"/>
    </row>
    <row r="84" spans="4:5" x14ac:dyDescent="0.25">
      <c r="D84" s="379"/>
      <c r="E84" s="441"/>
    </row>
    <row r="85" spans="4:5" x14ac:dyDescent="0.25">
      <c r="D85" s="379"/>
      <c r="E85" s="441"/>
    </row>
    <row r="86" spans="4:5" x14ac:dyDescent="0.25">
      <c r="D86" s="379"/>
      <c r="E86" s="441"/>
    </row>
    <row r="87" spans="4:5" x14ac:dyDescent="0.25">
      <c r="D87" s="379"/>
      <c r="E87" s="441"/>
    </row>
    <row r="88" spans="4:5" x14ac:dyDescent="0.25">
      <c r="D88" s="379"/>
      <c r="E88" s="441"/>
    </row>
  </sheetData>
  <sheetProtection algorithmName="SHA-512" hashValue="HuXPoPAjuwEkqceKDb1VslL9+nuB95F/x4lbCWbRocNI/5GQJB1NfIocBmFHj64W+OlcZuk4l5ImK5kxTgZtiQ==" saltValue="tqKrsJqaVV3nV7yaXvUstQ==" spinCount="100000" sheet="1" objects="1" scenarios="1" selectLockedCells="1"/>
  <pageMargins left="0.25" right="0.25" top="0.75" bottom="0.75" header="0.3" footer="0.3"/>
  <pageSetup paperSize="5" scale="48" fitToHeight="0"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3">
    <tabColor rgb="FFFFC000"/>
    <pageSetUpPr fitToPage="1"/>
  </sheetPr>
  <dimension ref="A1:J55"/>
  <sheetViews>
    <sheetView showGridLines="0" zoomScale="80" zoomScaleNormal="80" zoomScaleSheetLayoutView="70" workbookViewId="0">
      <pane xSplit="2" ySplit="7" topLeftCell="C8" activePane="bottomRight" state="frozen"/>
      <selection activeCell="J62" sqref="J62"/>
      <selection pane="topRight" activeCell="J62" sqref="J62"/>
      <selection pane="bottomLeft" activeCell="J62" sqref="J62"/>
      <selection pane="bottomRight" activeCell="H49" sqref="H49"/>
    </sheetView>
  </sheetViews>
  <sheetFormatPr baseColWidth="10" defaultColWidth="9.140625" defaultRowHeight="15" x14ac:dyDescent="0.25"/>
  <cols>
    <col min="1" max="1" width="25.42578125" customWidth="1"/>
    <col min="2" max="2" width="59.140625" bestFit="1" customWidth="1"/>
    <col min="3" max="3" width="17.7109375" customWidth="1"/>
    <col min="4" max="4" width="17.140625" customWidth="1"/>
    <col min="5" max="5" width="16.42578125" customWidth="1"/>
    <col min="6" max="6" width="17.7109375" customWidth="1"/>
    <col min="7" max="7" width="19.42578125" customWidth="1"/>
    <col min="8" max="8" width="28.5703125" customWidth="1"/>
  </cols>
  <sheetData>
    <row r="1" spans="1:10" s="156" customFormat="1" ht="15.75" thickBot="1" x14ac:dyDescent="0.3">
      <c r="A1" s="4" t="s">
        <v>56</v>
      </c>
      <c r="B1" s="36"/>
    </row>
    <row r="2" spans="1:10" ht="6.75" customHeight="1" thickBot="1" x14ac:dyDescent="0.3">
      <c r="A2" s="35"/>
      <c r="B2" s="35"/>
    </row>
    <row r="3" spans="1:10" ht="18.75" thickBot="1" x14ac:dyDescent="0.3">
      <c r="A3" s="91" t="str">
        <f>Paramètres!B4</f>
        <v>Tarif</v>
      </c>
      <c r="B3" s="242">
        <f>AnnéeTarif</f>
        <v>2021</v>
      </c>
    </row>
    <row r="4" spans="1:10" ht="18.75" thickBot="1" x14ac:dyDescent="0.3">
      <c r="A4" s="91" t="str">
        <f>Paramètres!B5</f>
        <v>Scénario</v>
      </c>
      <c r="B4" s="242" t="str">
        <f>Paramètres!C5</f>
        <v xml:space="preserve">Projet de tarif </v>
      </c>
    </row>
    <row r="5" spans="1:10" ht="18.75" thickBot="1" x14ac:dyDescent="0.3">
      <c r="A5" s="91" t="str">
        <f>Paramètres!B6</f>
        <v>Année de référence</v>
      </c>
      <c r="B5" s="92">
        <f>AnnéeRéf</f>
        <v>2020</v>
      </c>
      <c r="G5" s="37"/>
      <c r="H5" s="37"/>
    </row>
    <row r="6" spans="1:10" ht="15.75" customHeight="1" x14ac:dyDescent="0.25">
      <c r="A6" s="102"/>
      <c r="B6" s="102"/>
      <c r="C6" s="667"/>
      <c r="D6" s="668"/>
      <c r="E6" s="668"/>
      <c r="F6" s="669"/>
      <c r="G6" s="656" t="s">
        <v>56</v>
      </c>
      <c r="H6" s="657"/>
    </row>
    <row r="7" spans="1:10" ht="45.75" thickBot="1" x14ac:dyDescent="0.3">
      <c r="A7" s="265" t="str">
        <f>'Sommaire exécutif'!A7</f>
        <v>CATÉGORIE</v>
      </c>
      <c r="B7" s="9" t="str">
        <f>'Sommaire exécutif'!B7</f>
        <v>Matière</v>
      </c>
      <c r="C7" s="44" t="str">
        <f>'Sommaire exécutif'!D7</f>
        <v xml:space="preserve">Quantité générée
(tonnes) </v>
      </c>
      <c r="D7" s="44" t="str">
        <f>'Sommaire exécutif'!E7</f>
        <v xml:space="preserve">Quantité récupérée
(tonnes) </v>
      </c>
      <c r="E7" s="44" t="str">
        <f>'Sommaire exécutif'!$F$7</f>
        <v xml:space="preserve">Quantité éliminée
(tonnes) </v>
      </c>
      <c r="F7" s="47" t="str">
        <f>'Sommaire exécutif'!$C$7</f>
        <v>Quantité déclarée 
(tonnes)</v>
      </c>
      <c r="G7" s="167" t="s">
        <v>71</v>
      </c>
      <c r="H7" s="167" t="s">
        <v>214</v>
      </c>
    </row>
    <row r="8" spans="1:10" ht="15.75" thickBot="1" x14ac:dyDescent="0.3">
      <c r="A8" s="97"/>
      <c r="B8" s="69" t="s">
        <v>66</v>
      </c>
      <c r="C8" s="70"/>
      <c r="D8" s="71"/>
      <c r="E8" s="71"/>
      <c r="F8" s="72"/>
      <c r="G8" s="146">
        <f>Facteur1</f>
        <v>0.4</v>
      </c>
      <c r="H8" s="147"/>
    </row>
    <row r="9" spans="1:10" x14ac:dyDescent="0.25">
      <c r="A9" s="43" t="str">
        <f>'Sommaire exécutif'!$A8</f>
        <v>IMPRIMÉS</v>
      </c>
      <c r="B9" s="11"/>
      <c r="C9" s="101"/>
      <c r="D9" s="78"/>
      <c r="E9" s="78"/>
      <c r="F9" s="100"/>
      <c r="G9" s="68"/>
      <c r="H9" s="108"/>
    </row>
    <row r="10" spans="1:10" x14ac:dyDescent="0.25">
      <c r="A10" s="63"/>
      <c r="B10" s="37" t="str">
        <f>INDEX(ListeMatières,1)</f>
        <v>Encarts et circulaires imprimés sur du papier journal</v>
      </c>
      <c r="C10" s="58">
        <f>INDEX(tblMatières[Quantité générée (tonnes)],MATCH($B10,tblMatières[Matière],0))</f>
        <v>65368.142999999996</v>
      </c>
      <c r="D10" s="26">
        <f>INDEX(tblMatières[Quantité récupérée (tonnes)],MATCH($B10,tblMatières[Matière],0))</f>
        <v>55656.984739085055</v>
      </c>
      <c r="E10" s="26">
        <f t="shared" ref="E10:E15" si="0">C10-D10</f>
        <v>9711.1582609149409</v>
      </c>
      <c r="F10" s="48">
        <f>INDEX(tblMatières[Quantité déclarée (tonnes)],MATCH($B10,tblMatières[Matière],0))</f>
        <v>65368.142999999996</v>
      </c>
      <c r="G10" s="584">
        <f t="shared" ref="G10:G15" si="1">E10/$E$16</f>
        <v>0.47399522417214018</v>
      </c>
      <c r="H10" s="296">
        <f t="shared" ref="H10:H15" si="2">G10*$H$54</f>
        <v>8323559.9680792606</v>
      </c>
      <c r="J10" s="444"/>
    </row>
    <row r="11" spans="1:10" x14ac:dyDescent="0.25">
      <c r="A11" s="38"/>
      <c r="B11" s="37" t="str">
        <f>INDEX(ListeMatières,2)</f>
        <v>Catalogues et publications</v>
      </c>
      <c r="C11" s="58">
        <f>INDEX(tblMatières[Quantité générée (tonnes)],MATCH($B11,tblMatières[Matière],0))</f>
        <v>5387.2479999999996</v>
      </c>
      <c r="D11" s="26">
        <f>INDEX(tblMatières[Quantité récupérée (tonnes)],MATCH($B11,tblMatières[Matière],0))</f>
        <v>4441.1866763444323</v>
      </c>
      <c r="E11" s="26">
        <f t="shared" si="0"/>
        <v>946.06132365556732</v>
      </c>
      <c r="F11" s="48">
        <f>INDEX(tblMatières[Quantité déclarée (tonnes)],MATCH($B11,tblMatières[Matière],0))</f>
        <v>5387.2479999999996</v>
      </c>
      <c r="G11" s="584">
        <f t="shared" si="1"/>
        <v>4.6176628692328962E-2</v>
      </c>
      <c r="H11" s="296">
        <f t="shared" si="2"/>
        <v>810881.4571193743</v>
      </c>
      <c r="J11" s="444"/>
    </row>
    <row r="12" spans="1:10" x14ac:dyDescent="0.25">
      <c r="A12" s="38"/>
      <c r="B12" s="37" t="str">
        <f>INDEX(ListeMatières,3)</f>
        <v>Magazines</v>
      </c>
      <c r="C12" s="58">
        <f>INDEX(tblMatières[Quantité générée (tonnes)],MATCH($B12,tblMatières[Matière],0))</f>
        <v>3004.6579999999999</v>
      </c>
      <c r="D12" s="26">
        <f>INDEX(tblMatières[Quantité récupérée (tonnes)],MATCH($B12,tblMatières[Matière],0))</f>
        <v>2573.084473947371</v>
      </c>
      <c r="E12" s="26">
        <f t="shared" si="0"/>
        <v>431.57352605262895</v>
      </c>
      <c r="F12" s="48">
        <f>INDEX(tblMatières[Quantité déclarée (tonnes)],MATCH($B12,tblMatières[Matière],0))</f>
        <v>3004.6579999999999</v>
      </c>
      <c r="G12" s="584">
        <f t="shared" si="1"/>
        <v>2.106481891572054E-2</v>
      </c>
      <c r="H12" s="296">
        <f t="shared" si="2"/>
        <v>369907.27863969858</v>
      </c>
      <c r="J12" s="444"/>
    </row>
    <row r="13" spans="1:10" x14ac:dyDescent="0.25">
      <c r="A13" s="38"/>
      <c r="B13" s="37" t="str">
        <f>INDEX(ListeMatières,4)</f>
        <v>Annuaires téléphoniques</v>
      </c>
      <c r="C13" s="58">
        <f>INDEX(tblMatières[Quantité générée (tonnes)],MATCH($B13,tblMatières[Matière],0))</f>
        <v>320.28500000000003</v>
      </c>
      <c r="D13" s="26">
        <f>INDEX(tblMatières[Quantité récupérée (tonnes)],MATCH($B13,tblMatières[Matière],0))</f>
        <v>261.22380655183559</v>
      </c>
      <c r="E13" s="26">
        <f t="shared" si="0"/>
        <v>59.061193448164431</v>
      </c>
      <c r="F13" s="48">
        <f>INDEX(tblMatières[Quantité déclarée (tonnes)],MATCH($B13,tblMatières[Matière],0))</f>
        <v>320.28500000000003</v>
      </c>
      <c r="G13" s="584">
        <f t="shared" si="1"/>
        <v>2.8827378646488354E-3</v>
      </c>
      <c r="H13" s="296">
        <f t="shared" si="2"/>
        <v>50622.116563653886</v>
      </c>
      <c r="J13" s="444"/>
    </row>
    <row r="14" spans="1:10" x14ac:dyDescent="0.25">
      <c r="A14" s="38"/>
      <c r="B14" s="37" t="str">
        <f>INDEX(ListeMatières,5)</f>
        <v>Papier à usage général</v>
      </c>
      <c r="C14" s="58">
        <f>INDEX(tblMatières[Quantité générée (tonnes)],MATCH($B14,tblMatières[Matière],0))</f>
        <v>5107.7979999999998</v>
      </c>
      <c r="D14" s="26">
        <f>INDEX(tblMatières[Quantité récupérée (tonnes)],MATCH($B14,tblMatières[Matière],0))</f>
        <v>2901.4502265425795</v>
      </c>
      <c r="E14" s="26">
        <f t="shared" si="0"/>
        <v>2206.3477734574203</v>
      </c>
      <c r="F14" s="48">
        <f>INDEX(tblMatières[Quantité déclarée (tonnes)],MATCH($B14,tblMatières[Matière],0))</f>
        <v>5107.7979999999998</v>
      </c>
      <c r="G14" s="584">
        <f t="shared" si="1"/>
        <v>0.10769037836513665</v>
      </c>
      <c r="H14" s="296">
        <f t="shared" si="2"/>
        <v>1891089.3540603013</v>
      </c>
      <c r="J14" s="444"/>
    </row>
    <row r="15" spans="1:10" x14ac:dyDescent="0.25">
      <c r="A15" s="38"/>
      <c r="B15" s="37" t="str">
        <f>INDEX(ListeMatières,6)</f>
        <v>Autres imprimés</v>
      </c>
      <c r="C15" s="58">
        <f>INDEX(tblMatières[Quantité générée (tonnes)],MATCH($B15,tblMatières[Matière],0))</f>
        <v>18948.096000000001</v>
      </c>
      <c r="D15" s="26">
        <f>INDEX(tblMatières[Quantité récupérée (tonnes)],MATCH($B15,tblMatières[Matière],0))</f>
        <v>11814.415994167999</v>
      </c>
      <c r="E15" s="26">
        <f t="shared" si="0"/>
        <v>7133.6800058320023</v>
      </c>
      <c r="F15" s="48">
        <f>INDEX(tblMatières[Quantité déclarée (tonnes)],MATCH($B15,tblMatières[Matière],0))</f>
        <v>18948.096000000001</v>
      </c>
      <c r="G15" s="584">
        <f t="shared" si="1"/>
        <v>0.34819021199002481</v>
      </c>
      <c r="H15" s="296">
        <f t="shared" si="2"/>
        <v>6114369.8543778434</v>
      </c>
      <c r="J15" s="444"/>
    </row>
    <row r="16" spans="1:10" ht="15.75" thickBot="1" x14ac:dyDescent="0.3">
      <c r="A16" s="55" t="str">
        <f>'Sommaire exécutif'!$A15</f>
        <v>IMPRIMÉS TOTAL</v>
      </c>
      <c r="B16" s="20"/>
      <c r="C16" s="445">
        <f t="shared" ref="C16:E16" si="3">SUBTOTAL(9,C10:C15)</f>
        <v>98136.228000000003</v>
      </c>
      <c r="D16" s="445">
        <f t="shared" si="3"/>
        <v>77648.345916639271</v>
      </c>
      <c r="E16" s="445">
        <f t="shared" si="3"/>
        <v>20487.882083360724</v>
      </c>
      <c r="F16" s="28">
        <f>SUBTOTAL(9,F10:F15)</f>
        <v>98136.228000000003</v>
      </c>
      <c r="G16" s="88">
        <f t="shared" ref="G16:H16" si="4">SUBTOTAL(9,G10:G15)</f>
        <v>1</v>
      </c>
      <c r="H16" s="297">
        <f t="shared" si="4"/>
        <v>17560430.028840132</v>
      </c>
    </row>
    <row r="17" spans="1:10" x14ac:dyDescent="0.25">
      <c r="A17" s="38"/>
      <c r="B17" s="35"/>
      <c r="C17" s="38"/>
      <c r="D17" s="35"/>
      <c r="E17" s="35"/>
      <c r="F17" s="39"/>
      <c r="G17" s="67"/>
      <c r="H17" s="295"/>
    </row>
    <row r="18" spans="1:10" x14ac:dyDescent="0.25">
      <c r="A18" s="43" t="str">
        <f>'Sommaire exécutif'!$A17</f>
        <v>CONTENANTS ET EMBALLAGES</v>
      </c>
      <c r="B18" s="11"/>
      <c r="C18" s="34"/>
      <c r="D18" s="11"/>
      <c r="E18" s="11"/>
      <c r="F18" s="45"/>
      <c r="G18" s="68"/>
      <c r="H18" s="302"/>
    </row>
    <row r="19" spans="1:10" x14ac:dyDescent="0.25">
      <c r="A19" s="46" t="str">
        <f>'Sommaire exécutif'!$A18</f>
        <v>Papier et carton</v>
      </c>
      <c r="B19" s="37" t="str">
        <f>INDEX(ListeMatières,7)</f>
        <v>Carton ondulé</v>
      </c>
      <c r="C19" s="58">
        <f>INDEX(tblMatières[Quantité générée (tonnes)],MATCH($B19,tblMatières[Matière],0))</f>
        <v>58408.389000000003</v>
      </c>
      <c r="D19" s="26">
        <f>INDEX(tblMatières[Quantité récupérée (tonnes)],MATCH($B19,tblMatières[Matière],0))</f>
        <v>45258.102855473473</v>
      </c>
      <c r="E19" s="26">
        <f t="shared" ref="E19:E25" si="5">C19-D19</f>
        <v>13150.28614452653</v>
      </c>
      <c r="F19" s="48">
        <f>INDEX(tblMatières[Quantité déclarée (tonnes)],MATCH($B19,tblMatières[Matière],0))</f>
        <v>58408.389000000003</v>
      </c>
      <c r="G19" s="585">
        <f t="shared" ref="G19:G25" si="6">E19/$E$49</f>
        <v>6.6580258590349661E-2</v>
      </c>
      <c r="H19" s="296">
        <f t="shared" ref="H19:H25" si="7">G19*$H$55</f>
        <v>4111891.6126489071</v>
      </c>
      <c r="J19" s="444"/>
    </row>
    <row r="20" spans="1:10" x14ac:dyDescent="0.25">
      <c r="A20" s="46"/>
      <c r="B20" s="37" t="str">
        <f>INDEX(ListeMatières,8)</f>
        <v>Sacs de papier kraft</v>
      </c>
      <c r="C20" s="58">
        <f>INDEX(tblMatières[Quantité générée (tonnes)],MATCH($B20,tblMatières[Matière],0))</f>
        <v>3906.12</v>
      </c>
      <c r="D20" s="26">
        <f>INDEX(tblMatières[Quantité récupérée (tonnes)],MATCH($B20,tblMatières[Matière],0))</f>
        <v>1611.354102772769</v>
      </c>
      <c r="E20" s="26">
        <f t="shared" si="5"/>
        <v>2294.7658972272311</v>
      </c>
      <c r="F20" s="48">
        <f>INDEX(tblMatières[Quantité déclarée (tonnes)],MATCH($B20,tblMatières[Matière],0))</f>
        <v>3906.12</v>
      </c>
      <c r="G20" s="584">
        <f t="shared" si="6"/>
        <v>1.1618462530969192E-2</v>
      </c>
      <c r="H20" s="296">
        <f t="shared" si="7"/>
        <v>717537.89553308068</v>
      </c>
      <c r="J20" s="444"/>
    </row>
    <row r="21" spans="1:10" x14ac:dyDescent="0.25">
      <c r="A21" s="46"/>
      <c r="B21" s="37" t="str">
        <f>INDEX(ListeMatières,9)</f>
        <v>Emballages de papier kraft</v>
      </c>
      <c r="C21" s="58">
        <f>INDEX(tblMatières[Quantité générée (tonnes)],MATCH($B21,tblMatières[Matière],0))</f>
        <v>2207.5160000000001</v>
      </c>
      <c r="D21" s="26">
        <f>INDEX(tblMatières[Quantité récupérée (tonnes)],MATCH($B21,tblMatières[Matière],0))</f>
        <v>511.60760801223461</v>
      </c>
      <c r="E21" s="26">
        <f t="shared" si="5"/>
        <v>1695.9083919877655</v>
      </c>
      <c r="F21" s="48">
        <f>INDEX(tblMatières[Quantité déclarée (tonnes)],MATCH($B21,tblMatières[Matière],0))</f>
        <v>2207.5160000000001</v>
      </c>
      <c r="G21" s="584">
        <f t="shared" si="6"/>
        <v>8.5864305949788829E-3</v>
      </c>
      <c r="H21" s="296">
        <f t="shared" si="7"/>
        <v>530284.39200449514</v>
      </c>
      <c r="J21" s="444"/>
    </row>
    <row r="22" spans="1:10" x14ac:dyDescent="0.25">
      <c r="A22" s="46"/>
      <c r="B22" s="37" t="str">
        <f>INDEX(ListeMatières,10)</f>
        <v>Carton plat et autres emballages de papier</v>
      </c>
      <c r="C22" s="58">
        <f>INDEX(tblMatières[Quantité générée (tonnes)],MATCH($B22,tblMatières[Matière],0))</f>
        <v>92654.394</v>
      </c>
      <c r="D22" s="26">
        <f>INDEX(tblMatières[Quantité récupérée (tonnes)],MATCH($B22,tblMatières[Matière],0))</f>
        <v>57330.131093507713</v>
      </c>
      <c r="E22" s="26">
        <f t="shared" si="5"/>
        <v>35324.262906492288</v>
      </c>
      <c r="F22" s="48">
        <f>INDEX(tblMatières[Quantité déclarée (tonnes)],MATCH($B22,tblMatières[Matière],0))</f>
        <v>92654.394</v>
      </c>
      <c r="G22" s="584">
        <f t="shared" si="6"/>
        <v>0.17884770969844413</v>
      </c>
      <c r="H22" s="296">
        <f t="shared" si="7"/>
        <v>11045352.076134628</v>
      </c>
      <c r="J22" s="444"/>
    </row>
    <row r="23" spans="1:10" x14ac:dyDescent="0.25">
      <c r="A23" s="46"/>
      <c r="B23" s="37" t="str">
        <f>INDEX(ListeMatières,11)</f>
        <v>Contenants à pignon</v>
      </c>
      <c r="C23" s="58">
        <f>INDEX(tblMatières[Quantité générée (tonnes)],MATCH($B23,tblMatières[Matière],0))</f>
        <v>9680.7970000000005</v>
      </c>
      <c r="D23" s="26">
        <f>INDEX(tblMatières[Quantité récupérée (tonnes)],MATCH($B23,tblMatières[Matière],0))</f>
        <v>7539.7734574724036</v>
      </c>
      <c r="E23" s="26">
        <f t="shared" si="5"/>
        <v>2141.0235425275969</v>
      </c>
      <c r="F23" s="48">
        <f>INDEX(tblMatières[Quantité déclarée (tonnes)],MATCH($B23,tblMatières[Matière],0))</f>
        <v>9680.7970000000005</v>
      </c>
      <c r="G23" s="584">
        <f t="shared" si="6"/>
        <v>1.0840060782163789E-2</v>
      </c>
      <c r="H23" s="296">
        <f t="shared" si="7"/>
        <v>669465.03294663085</v>
      </c>
      <c r="J23" s="444"/>
    </row>
    <row r="24" spans="1:10" x14ac:dyDescent="0.25">
      <c r="A24" s="46"/>
      <c r="B24" s="37" t="str">
        <f>INDEX(ListeMatières,12)</f>
        <v>Laminés de papier</v>
      </c>
      <c r="C24" s="58">
        <f>INDEX(tblMatières[Quantité générée (tonnes)],MATCH($B24,tblMatières[Matière],0))</f>
        <v>13115.505999999999</v>
      </c>
      <c r="D24" s="26">
        <f>INDEX(tblMatières[Quantité récupérée (tonnes)],MATCH($B24,tblMatières[Matière],0))</f>
        <v>4385.0394479041151</v>
      </c>
      <c r="E24" s="26">
        <f t="shared" si="5"/>
        <v>8730.4665520958843</v>
      </c>
      <c r="F24" s="48">
        <f>INDEX(tblMatières[Quantité déclarée (tonnes)],MATCH($B24,tblMatières[Matière],0))</f>
        <v>13115.505999999999</v>
      </c>
      <c r="G24" s="584">
        <f t="shared" si="6"/>
        <v>4.4202591051213276E-2</v>
      </c>
      <c r="H24" s="296">
        <f t="shared" si="7"/>
        <v>2729882.209066364</v>
      </c>
      <c r="J24" s="444"/>
    </row>
    <row r="25" spans="1:10" x14ac:dyDescent="0.25">
      <c r="A25" s="46"/>
      <c r="B25" s="37" t="str">
        <f>INDEX(ListeMatières,13)</f>
        <v>Contenants aseptiques</v>
      </c>
      <c r="C25" s="58">
        <f>INDEX(tblMatières[Quantité générée (tonnes)],MATCH($B25,tblMatières[Matière],0))</f>
        <v>5539.04</v>
      </c>
      <c r="D25" s="26">
        <f>INDEX(tblMatières[Quantité récupérée (tonnes)],MATCH($B25,tblMatières[Matière],0))</f>
        <v>3043.685539740221</v>
      </c>
      <c r="E25" s="26">
        <f t="shared" si="5"/>
        <v>2495.354460259779</v>
      </c>
      <c r="F25" s="48">
        <f>INDEX(tblMatières[Quantité déclarée (tonnes)],MATCH($B25,tblMatières[Matière],0))</f>
        <v>5539.04</v>
      </c>
      <c r="G25" s="584">
        <f t="shared" si="6"/>
        <v>1.2634047914450179E-2</v>
      </c>
      <c r="H25" s="296">
        <f t="shared" si="7"/>
        <v>780258.84478559042</v>
      </c>
      <c r="J25" s="444"/>
    </row>
    <row r="26" spans="1:10" x14ac:dyDescent="0.25">
      <c r="A26" s="43" t="str">
        <f>'Sommaire exécutif'!$A25</f>
        <v>Papier et carton TOTAL</v>
      </c>
      <c r="B26" s="10"/>
      <c r="C26" s="60">
        <f t="shared" ref="C26:E26" si="8">SUBTOTAL(9,C19:C25)</f>
        <v>185511.76199999999</v>
      </c>
      <c r="D26" s="22">
        <f t="shared" si="8"/>
        <v>119679.69410488293</v>
      </c>
      <c r="E26" s="22">
        <f t="shared" si="8"/>
        <v>65832.067895117085</v>
      </c>
      <c r="F26" s="29">
        <f>SUBTOTAL(9,F19:F25)</f>
        <v>185511.76199999999</v>
      </c>
      <c r="G26" s="586">
        <f t="shared" ref="G26:H26" si="9">SUBTOTAL(9,G19:G25)</f>
        <v>0.33330956116256905</v>
      </c>
      <c r="H26" s="298">
        <f t="shared" si="9"/>
        <v>20584672.063119695</v>
      </c>
    </row>
    <row r="27" spans="1:10" x14ac:dyDescent="0.25">
      <c r="A27" s="46" t="str">
        <f>'Sommaire exécutif'!$A26</f>
        <v>Plastique</v>
      </c>
      <c r="B27" s="37" t="str">
        <f>INDEX(ListeMatières,14)</f>
        <v>Bouteilles PET</v>
      </c>
      <c r="C27" s="58">
        <f>INDEX(tblMatières[Quantité générée (tonnes)],MATCH($B27,tblMatières[Matière],0))</f>
        <v>31023.692999999999</v>
      </c>
      <c r="D27" s="26">
        <f>INDEX(tblMatières[Quantité récupérée (tonnes)],MATCH($B27,tblMatières[Matière],0))</f>
        <v>21038.603224586255</v>
      </c>
      <c r="E27" s="26">
        <f t="shared" ref="E27:E37" si="10">C27-D27</f>
        <v>9985.0897754137441</v>
      </c>
      <c r="F27" s="48">
        <f>INDEX(tblMatières[Quantité déclarée (tonnes)],MATCH($B27,tblMatières[Matière],0))</f>
        <v>31023.692999999999</v>
      </c>
      <c r="G27" s="584">
        <f t="shared" ref="G27:G37" si="11">E27/$E$49</f>
        <v>5.0554782762017206E-2</v>
      </c>
      <c r="H27" s="296">
        <f t="shared" ref="H27:H37" si="12">G27*$H$55</f>
        <v>3122183.536375694</v>
      </c>
      <c r="J27" s="444"/>
    </row>
    <row r="28" spans="1:10" x14ac:dyDescent="0.25">
      <c r="A28" s="38"/>
      <c r="B28" s="37" t="str">
        <f>INDEX(ListeMatières,15)</f>
        <v>Bouteilles, tous formats, et contenants &lt; 5l. HDPE</v>
      </c>
      <c r="C28" s="58">
        <f>INDEX(tblMatières[Quantité générée (tonnes)],MATCH($B28,tblMatières[Matière],0))</f>
        <v>20311.441999999999</v>
      </c>
      <c r="D28" s="26">
        <f>INDEX(tblMatières[Quantité récupérée (tonnes)],MATCH($B28,tblMatières[Matière],0))</f>
        <v>13818.283875375495</v>
      </c>
      <c r="E28" s="26">
        <f t="shared" si="10"/>
        <v>6493.1581246245041</v>
      </c>
      <c r="F28" s="48">
        <f>INDEX(tblMatières[Quantité déclarée (tonnes)],MATCH($B28,tblMatières[Matière],0))</f>
        <v>20311.441999999999</v>
      </c>
      <c r="G28" s="584">
        <f t="shared" si="11"/>
        <v>3.2875037261867482E-2</v>
      </c>
      <c r="H28" s="296">
        <f t="shared" si="12"/>
        <v>2030310.3779501747</v>
      </c>
      <c r="J28" s="444"/>
    </row>
    <row r="29" spans="1:10" x14ac:dyDescent="0.25">
      <c r="A29" s="38"/>
      <c r="B29" s="37" t="str">
        <f>INDEX(ListeMatières,16)</f>
        <v>Plastiques stratifiés</v>
      </c>
      <c r="C29" s="58">
        <f>INDEX(tblMatières[Quantité générée (tonnes)],MATCH($B29,tblMatières[Matière],0))</f>
        <v>15885.589</v>
      </c>
      <c r="D29" s="26">
        <f>INDEX(tblMatières[Quantité récupérée (tonnes)],MATCH($B29,tblMatières[Matière],0))</f>
        <v>2566.4755872332394</v>
      </c>
      <c r="E29" s="26">
        <f t="shared" si="10"/>
        <v>13319.113412766761</v>
      </c>
      <c r="F29" s="48">
        <f>INDEX(tblMatières[Quantité déclarée (tonnes)],MATCH($B29,tblMatières[Matière],0))</f>
        <v>15885.589</v>
      </c>
      <c r="G29" s="584">
        <f t="shared" si="11"/>
        <v>6.7435035669190291E-2</v>
      </c>
      <c r="H29" s="296">
        <f t="shared" si="12"/>
        <v>4164681.2949899537</v>
      </c>
      <c r="J29" s="444"/>
    </row>
    <row r="30" spans="1:10" x14ac:dyDescent="0.25">
      <c r="A30" s="38"/>
      <c r="B30" s="37" t="str">
        <f>INDEX(ListeMatières,17)</f>
        <v>Pellicules HDPE et LDPE</v>
      </c>
      <c r="C30" s="58">
        <f>INDEX(tblMatières[Quantité générée (tonnes)],MATCH($B30,tblMatières[Matière],0))</f>
        <v>20483.853999999999</v>
      </c>
      <c r="D30" s="26">
        <f>INDEX(tblMatières[Quantité récupérée (tonnes)],MATCH($B30,tblMatières[Matière],0))</f>
        <v>7126.9914428520478</v>
      </c>
      <c r="E30" s="26">
        <f t="shared" si="10"/>
        <v>13356.862557147952</v>
      </c>
      <c r="F30" s="48">
        <f>INDEX(tblMatières[Quantité déclarée (tonnes)],MATCH($B30,tblMatières[Matière],0))</f>
        <v>20483.853999999999</v>
      </c>
      <c r="G30" s="584">
        <f t="shared" si="11"/>
        <v>6.7626160620148895E-2</v>
      </c>
      <c r="H30" s="296">
        <f t="shared" si="12"/>
        <v>4176484.8700954509</v>
      </c>
      <c r="J30" s="444"/>
    </row>
    <row r="31" spans="1:10" x14ac:dyDescent="0.25">
      <c r="A31" s="38"/>
      <c r="B31" s="37" t="str">
        <f>INDEX(ListeMatières,18)</f>
        <v>Sacs d'emplettes de pellicules HDPE et LDPE</v>
      </c>
      <c r="C31" s="58">
        <f>INDEX(tblMatières[Quantité générée (tonnes)],MATCH($B31,tblMatières[Matière],0))</f>
        <v>10065.867</v>
      </c>
      <c r="D31" s="26">
        <f>INDEX(tblMatières[Quantité récupérée (tonnes)],MATCH($B31,tblMatières[Matière],0))</f>
        <v>1586.2200315921225</v>
      </c>
      <c r="E31" s="26">
        <f t="shared" si="10"/>
        <v>8479.6469684078784</v>
      </c>
      <c r="F31" s="48">
        <f>INDEX(tblMatières[Quantité déclarée (tonnes)],MATCH($B31,tblMatières[Matière],0))</f>
        <v>10065.867</v>
      </c>
      <c r="G31" s="584">
        <f t="shared" si="11"/>
        <v>4.2932684635646645E-2</v>
      </c>
      <c r="H31" s="296">
        <f t="shared" si="12"/>
        <v>2651454.7945508203</v>
      </c>
      <c r="J31" s="444"/>
    </row>
    <row r="32" spans="1:10" x14ac:dyDescent="0.25">
      <c r="A32" s="38"/>
      <c r="B32" s="37" t="str">
        <f>INDEX(ListeMatières,19)</f>
        <v>Polystyrène expansé alimentaire</v>
      </c>
      <c r="C32" s="58">
        <f>INDEX(tblMatières[Quantité générée (tonnes)],MATCH($B32,tblMatières[Matière],0))</f>
        <v>3369.3789999999999</v>
      </c>
      <c r="D32" s="26">
        <f>INDEX(tblMatières[Quantité récupérée (tonnes)],MATCH($B32,tblMatières[Matière],0))</f>
        <v>388.92322480010046</v>
      </c>
      <c r="E32" s="26">
        <f t="shared" si="10"/>
        <v>2980.4557751998996</v>
      </c>
      <c r="F32" s="48">
        <f>INDEX(tblMatières[Quantité déclarée (tonnes)],MATCH($B32,tblMatières[Matière],0))</f>
        <v>3369.3789999999999</v>
      </c>
      <c r="G32" s="584">
        <f t="shared" si="11"/>
        <v>1.509012914616354E-2</v>
      </c>
      <c r="H32" s="296">
        <f t="shared" si="12"/>
        <v>931942.54248348973</v>
      </c>
      <c r="J32" s="444"/>
    </row>
    <row r="33" spans="1:10" x14ac:dyDescent="0.25">
      <c r="A33" s="259"/>
      <c r="B33" s="37" t="str">
        <f>INDEX(ListeMatières,20)</f>
        <v>Polystyrène expansé de protection</v>
      </c>
      <c r="C33" s="58">
        <f>INDEX(tblMatières[Quantité générée (tonnes)],MATCH($B33,tblMatières[Matière],0))</f>
        <v>1085.0350000000001</v>
      </c>
      <c r="D33" s="26">
        <f>INDEX(tblMatières[Quantité récupérée (tonnes)],MATCH($B33,tblMatières[Matière],0))</f>
        <v>407.00702106329919</v>
      </c>
      <c r="E33" s="26">
        <f>C33-D33</f>
        <v>678.02797893670095</v>
      </c>
      <c r="F33" s="48">
        <f>INDEX(tblMatières[Quantité déclarée (tonnes)],MATCH($B33,tblMatières[Matière],0))</f>
        <v>1085.0350000000001</v>
      </c>
      <c r="G33" s="584">
        <f t="shared" si="11"/>
        <v>3.4328742107172651E-3</v>
      </c>
      <c r="H33" s="296">
        <f t="shared" si="12"/>
        <v>212008.88931922856</v>
      </c>
      <c r="J33" s="444"/>
    </row>
    <row r="34" spans="1:10" x14ac:dyDescent="0.25">
      <c r="A34" s="38"/>
      <c r="B34" s="37" t="str">
        <f>INDEX(ListeMatières,21)</f>
        <v>Polystyrène non expansé</v>
      </c>
      <c r="C34" s="58">
        <f>INDEX(tblMatières[Quantité générée (tonnes)],MATCH($B34,tblMatières[Matière],0))</f>
        <v>4235.3710000000001</v>
      </c>
      <c r="D34" s="26">
        <f>INDEX(tblMatières[Quantité récupérée (tonnes)],MATCH($B34,tblMatières[Matière],0))</f>
        <v>1053.7743325675031</v>
      </c>
      <c r="E34" s="26">
        <f t="shared" si="10"/>
        <v>3181.5966674324973</v>
      </c>
      <c r="F34" s="48">
        <f>INDEX(tblMatières[Quantité déclarée (tonnes)],MATCH($B34,tblMatières[Matière],0))</f>
        <v>4235.3710000000001</v>
      </c>
      <c r="G34" s="584">
        <f t="shared" si="11"/>
        <v>1.6108510987498156E-2</v>
      </c>
      <c r="H34" s="296">
        <f t="shared" si="12"/>
        <v>994836.1965562707</v>
      </c>
      <c r="J34" s="444"/>
    </row>
    <row r="35" spans="1:10" x14ac:dyDescent="0.25">
      <c r="A35" s="38"/>
      <c r="B35" s="37" t="str">
        <f>INDEX(ListeMatières,22)</f>
        <v>Contenants de PET</v>
      </c>
      <c r="C35" s="58">
        <f>INDEX(tblMatières[Quantité générée (tonnes)],MATCH($B35,tblMatières[Matière],0))</f>
        <v>8932.5040000000008</v>
      </c>
      <c r="D35" s="26">
        <f>INDEX(tblMatières[Quantité récupérée (tonnes)],MATCH($B35,tblMatières[Matière],0))</f>
        <v>5114.7294039183307</v>
      </c>
      <c r="E35" s="26">
        <f t="shared" si="10"/>
        <v>3817.7745960816701</v>
      </c>
      <c r="F35" s="48">
        <f>INDEX(tblMatières[Quantité déclarée (tonnes)],MATCH($B35,tblMatières[Matière],0))</f>
        <v>8932.5040000000008</v>
      </c>
      <c r="G35" s="584">
        <f t="shared" si="11"/>
        <v>1.9329497248437043E-2</v>
      </c>
      <c r="H35" s="296">
        <f t="shared" si="12"/>
        <v>1193759.2207562947</v>
      </c>
      <c r="J35" s="444"/>
    </row>
    <row r="36" spans="1:10" x14ac:dyDescent="0.25">
      <c r="A36" s="38"/>
      <c r="B36" s="37" t="str">
        <f>INDEX(ListeMatières,23)</f>
        <v>Acide polylactique (PLA) et autres plastiques dégradables</v>
      </c>
      <c r="C36" s="58">
        <f>INDEX(tblMatières[Quantité générée (tonnes)],MATCH($B36,tblMatières[Matière],0))</f>
        <v>350.81</v>
      </c>
      <c r="D36" s="26">
        <f>INDEX(tblMatières[Quantité récupérée (tonnes)],MATCH($B36,tblMatières[Matière],0))</f>
        <v>191.54226000000003</v>
      </c>
      <c r="E36" s="26">
        <f t="shared" si="10"/>
        <v>159.26773999999997</v>
      </c>
      <c r="F36" s="48">
        <f>INDEX(tblMatières[Quantité déclarée (tonnes)],MATCH($B36,tblMatières[Matière],0))</f>
        <v>350.81</v>
      </c>
      <c r="G36" s="584">
        <f t="shared" si="11"/>
        <v>8.0637692577619337E-4</v>
      </c>
      <c r="H36" s="296">
        <f t="shared" si="12"/>
        <v>49800.565331738318</v>
      </c>
      <c r="J36" s="444"/>
    </row>
    <row r="37" spans="1:10" x14ac:dyDescent="0.25">
      <c r="A37" s="38"/>
      <c r="B37" s="37" t="str">
        <f>INDEX(ListeMatières,24)</f>
        <v>Autres plastiques, polymères et polyuréthane</v>
      </c>
      <c r="C37" s="58">
        <f>INDEX(tblMatières[Quantité générée (tonnes)],MATCH($B37,tblMatières[Matière],0))</f>
        <v>37245.540999999997</v>
      </c>
      <c r="D37" s="26">
        <f>INDEX(tblMatières[Quantité récupérée (tonnes)],MATCH($B37,tblMatières[Matière],0))</f>
        <v>16276.301416999999</v>
      </c>
      <c r="E37" s="26">
        <f t="shared" si="10"/>
        <v>20969.239582999999</v>
      </c>
      <c r="F37" s="48">
        <f>INDEX(tblMatières[Quantité déclarée (tonnes)],MATCH($B37,tblMatières[Matière],0))</f>
        <v>37245.540999999997</v>
      </c>
      <c r="G37" s="584">
        <f t="shared" si="11"/>
        <v>0.10616783380491247</v>
      </c>
      <c r="H37" s="296">
        <f t="shared" si="12"/>
        <v>6556757.7326711919</v>
      </c>
      <c r="J37" s="444"/>
    </row>
    <row r="38" spans="1:10" x14ac:dyDescent="0.25">
      <c r="A38" s="43" t="str">
        <f>'Sommaire exécutif'!$A37</f>
        <v>Plastique TOTAL</v>
      </c>
      <c r="B38" s="10"/>
      <c r="C38" s="61">
        <f t="shared" ref="C38:E38" si="13">SUBTOTAL(9,C27:C37)</f>
        <v>152989.08499999996</v>
      </c>
      <c r="D38" s="24">
        <f t="shared" si="13"/>
        <v>69568.851820988391</v>
      </c>
      <c r="E38" s="24">
        <f t="shared" si="13"/>
        <v>83420.2331790116</v>
      </c>
      <c r="F38" s="29">
        <f>SUBTOTAL(9,F27:F37)</f>
        <v>152989.08499999996</v>
      </c>
      <c r="G38" s="586">
        <f t="shared" ref="G38:H38" si="14">SUBTOTAL(9,G27:G37)</f>
        <v>0.42235892327237512</v>
      </c>
      <c r="H38" s="298">
        <f t="shared" si="14"/>
        <v>26084220.021080308</v>
      </c>
    </row>
    <row r="39" spans="1:10" x14ac:dyDescent="0.25">
      <c r="A39" s="46" t="str">
        <f>'Sommaire exécutif'!$A38</f>
        <v>Aluminium</v>
      </c>
      <c r="B39" s="37" t="str">
        <f>INDEX(ListeMatières,25)</f>
        <v>Contenants pour aliments et breuvages en aluminium</v>
      </c>
      <c r="C39" s="58">
        <f>INDEX(tblMatières[Quantité générée (tonnes)],MATCH($B39,tblMatières[Matière],0))</f>
        <v>4037.5839999999998</v>
      </c>
      <c r="D39" s="26">
        <f>INDEX(tblMatières[Quantité récupérée (tonnes)],MATCH($B39,tblMatières[Matière],0))</f>
        <v>1946.6893408439882</v>
      </c>
      <c r="E39" s="26">
        <f>C39-D39</f>
        <v>2090.8946591560116</v>
      </c>
      <c r="F39" s="48">
        <f>INDEX(tblMatières[Quantité déclarée (tonnes)],MATCH($B39,tblMatières[Matière],0))</f>
        <v>4037.5839999999998</v>
      </c>
      <c r="G39" s="584">
        <f>E39/$E$49</f>
        <v>1.0586256873941243E-2</v>
      </c>
      <c r="H39" s="296">
        <f>G39*$H$55</f>
        <v>653790.50443662785</v>
      </c>
      <c r="J39" s="444"/>
    </row>
    <row r="40" spans="1:10" x14ac:dyDescent="0.25">
      <c r="A40" s="46"/>
      <c r="B40" s="37" t="str">
        <f>INDEX(ListeMatières,26)</f>
        <v>Autres contenants et emballages en aluminium</v>
      </c>
      <c r="C40" s="58">
        <f>INDEX(tblMatières[Quantité générée (tonnes)],MATCH($B40,tblMatières[Matière],0))</f>
        <v>3963.2570000000001</v>
      </c>
      <c r="D40" s="26">
        <f>INDEX(tblMatières[Quantité récupérée (tonnes)],MATCH($B40,tblMatières[Matière],0))</f>
        <v>397.62020471495117</v>
      </c>
      <c r="E40" s="26">
        <f>C40-D40</f>
        <v>3565.6367952850487</v>
      </c>
      <c r="F40" s="48">
        <f>INDEX(tblMatières[Quantité déclarée (tonnes)],MATCH($B40,tblMatières[Matière],0))</f>
        <v>3963.2570000000001</v>
      </c>
      <c r="G40" s="584">
        <f>E40/$E$49</f>
        <v>1.8052916663578177E-2</v>
      </c>
      <c r="H40" s="296">
        <f>G40*$H$55</f>
        <v>1114919.6200865484</v>
      </c>
      <c r="J40" s="444"/>
    </row>
    <row r="41" spans="1:10" x14ac:dyDescent="0.25">
      <c r="A41" s="43" t="str">
        <f>'Sommaire exécutif'!$A40</f>
        <v>Aluminium TOTAL</v>
      </c>
      <c r="B41" s="10"/>
      <c r="C41" s="60">
        <f t="shared" ref="C41:E41" si="15">SUBTOTAL(9,C39:C40)</f>
        <v>8000.8410000000003</v>
      </c>
      <c r="D41" s="22">
        <f t="shared" si="15"/>
        <v>2344.3095455589396</v>
      </c>
      <c r="E41" s="22">
        <f t="shared" si="15"/>
        <v>5656.5314544410603</v>
      </c>
      <c r="F41" s="29">
        <f>SUBTOTAL(9,F39:F40)</f>
        <v>8000.8410000000003</v>
      </c>
      <c r="G41" s="586">
        <f t="shared" ref="G41:H41" si="16">SUBTOTAL(9,G39:G40)</f>
        <v>2.8639173537519422E-2</v>
      </c>
      <c r="H41" s="298">
        <f t="shared" si="16"/>
        <v>1768710.1245231763</v>
      </c>
    </row>
    <row r="42" spans="1:10" x14ac:dyDescent="0.25">
      <c r="A42" s="46" t="str">
        <f>'Sommaire exécutif'!$A41</f>
        <v>Acier</v>
      </c>
      <c r="B42" s="37" t="str">
        <f>INDEX(ListeMatières,27)</f>
        <v>Bombes aérosol en acier</v>
      </c>
      <c r="C42" s="58">
        <f>INDEX(tblMatières[Quantité générée (tonnes)],MATCH($B42,tblMatières[Matière],0))</f>
        <v>1741.7629999999999</v>
      </c>
      <c r="D42" s="26">
        <f>INDEX(tblMatières[Quantité récupérée (tonnes)],MATCH($B42,tblMatières[Matière],0))</f>
        <v>305.33105390000003</v>
      </c>
      <c r="E42" s="26">
        <f>C42-D42</f>
        <v>1436.4319461</v>
      </c>
      <c r="F42" s="48">
        <f>INDEX(tblMatières[Quantité déclarée (tonnes)],MATCH($B42,tblMatières[Matière],0))</f>
        <v>1741.7629999999999</v>
      </c>
      <c r="G42" s="584">
        <f>E42/$E$49</f>
        <v>7.2726942492110013E-3</v>
      </c>
      <c r="H42" s="296">
        <f>G42*$H$55</f>
        <v>449150.11022539204</v>
      </c>
      <c r="J42" s="444"/>
    </row>
    <row r="43" spans="1:10" x14ac:dyDescent="0.25">
      <c r="A43" s="46"/>
      <c r="B43" s="37" t="str">
        <f>INDEX(ListeMatières,28)</f>
        <v>Autres contenants en acier</v>
      </c>
      <c r="C43" s="58">
        <f>INDEX(tblMatières[Quantité générée (tonnes)],MATCH($B43,tblMatières[Matière],0))</f>
        <v>25404.03</v>
      </c>
      <c r="D43" s="26">
        <f>INDEX(tblMatières[Quantité récupérée (tonnes)],MATCH($B43,tblMatières[Matière],0))</f>
        <v>16476.642154247114</v>
      </c>
      <c r="E43" s="26">
        <f>C43-D43</f>
        <v>8927.3878457528845</v>
      </c>
      <c r="F43" s="48">
        <f>INDEX(tblMatières[Quantité déclarée (tonnes)],MATCH($B43,tblMatières[Matière],0))</f>
        <v>25404.03</v>
      </c>
      <c r="G43" s="584">
        <f>E43/$E$49</f>
        <v>4.5199608949495776E-2</v>
      </c>
      <c r="H43" s="296">
        <f>G43*$H$55</f>
        <v>2791456.4597587888</v>
      </c>
      <c r="J43" s="444"/>
    </row>
    <row r="44" spans="1:10" x14ac:dyDescent="0.25">
      <c r="A44" s="43" t="str">
        <f>'Sommaire exécutif'!$A43</f>
        <v>Acier TOTAL</v>
      </c>
      <c r="B44" s="10"/>
      <c r="C44" s="60">
        <f t="shared" ref="C44:E44" si="17">SUBTOTAL(9,C42:C43)</f>
        <v>27145.792999999998</v>
      </c>
      <c r="D44" s="22">
        <f t="shared" si="17"/>
        <v>16781.973208147116</v>
      </c>
      <c r="E44" s="22">
        <f t="shared" si="17"/>
        <v>10363.819791852884</v>
      </c>
      <c r="F44" s="29">
        <f>SUBTOTAL(9,F42:F43)</f>
        <v>27145.792999999998</v>
      </c>
      <c r="G44" s="586">
        <f t="shared" ref="G44:H44" si="18">SUBTOTAL(9,G42:G43)</f>
        <v>5.2472303198706778E-2</v>
      </c>
      <c r="H44" s="298">
        <f t="shared" si="18"/>
        <v>3240606.5699841809</v>
      </c>
    </row>
    <row r="45" spans="1:10" x14ac:dyDescent="0.25">
      <c r="A45" s="46" t="str">
        <f>'Sommaire exécutif'!$A44</f>
        <v>Verre</v>
      </c>
      <c r="B45" s="37" t="str">
        <f>INDEX(ListeMatières,29)</f>
        <v>Verre clair</v>
      </c>
      <c r="C45" s="58">
        <f>INDEX(tblMatières[Quantité générée (tonnes)],MATCH($B45,tblMatières[Matière],0))</f>
        <v>64834.576999999997</v>
      </c>
      <c r="D45" s="26">
        <f>INDEX(tblMatières[Quantité récupérée (tonnes)],MATCH($B45,tblMatières[Matière],0))</f>
        <v>51115.154889588826</v>
      </c>
      <c r="E45" s="26">
        <f>C45-D45</f>
        <v>13719.422110411171</v>
      </c>
      <c r="F45" s="48">
        <f>INDEX(tblMatières[Quantité déclarée (tonnes)],MATCH($B45,tblMatières[Matière],0))</f>
        <v>64834.576999999997</v>
      </c>
      <c r="G45" s="584">
        <f>E45/$E$49</f>
        <v>6.9461809559294915E-2</v>
      </c>
      <c r="H45" s="296">
        <f>G45*$H$55</f>
        <v>4289851.6493247589</v>
      </c>
      <c r="J45" s="444"/>
    </row>
    <row r="46" spans="1:10" x14ac:dyDescent="0.25">
      <c r="A46" s="46"/>
      <c r="B46" s="37" t="str">
        <f>INDEX(ListeMatières,30)</f>
        <v>Verre coloré</v>
      </c>
      <c r="C46" s="58">
        <f>INDEX(tblMatières[Quantité générée (tonnes)],MATCH($B46,tblMatières[Matière],0))</f>
        <v>85096.618000000002</v>
      </c>
      <c r="D46" s="26">
        <f>INDEX(tblMatières[Quantité récupérée (tonnes)],MATCH($B46,tblMatières[Matière],0))</f>
        <v>67089.615000498467</v>
      </c>
      <c r="E46" s="26">
        <f>C46-D46</f>
        <v>18007.002999501536</v>
      </c>
      <c r="F46" s="48">
        <f>INDEX(tblMatières[Quantité déclarée (tonnes)],MATCH($B46,tblMatières[Matière],0))</f>
        <v>85096.618000000002</v>
      </c>
      <c r="G46" s="584">
        <f>E46/$E$49</f>
        <v>9.1169948924877967E-2</v>
      </c>
      <c r="H46" s="296">
        <f>G46*$H$55</f>
        <v>5630512.0503718089</v>
      </c>
      <c r="J46" s="444"/>
    </row>
    <row r="47" spans="1:10" x14ac:dyDescent="0.25">
      <c r="A47" s="19"/>
      <c r="B47" s="638" t="str">
        <f>INDEX(ListeMatières,31)</f>
        <v>Céramique</v>
      </c>
      <c r="C47" s="58">
        <f>INDEX(tblMatières[Quantité générée (tonnes)],MATCH($B47,tblMatières[Matière],0))</f>
        <v>678</v>
      </c>
      <c r="D47" s="26">
        <f>INDEX(tblMatières[Quantité récupérée (tonnes)],MATCH($B47,tblMatières[Matière],0))</f>
        <v>166.78800000000001</v>
      </c>
      <c r="E47" s="26">
        <f>C47-D47</f>
        <v>511.21199999999999</v>
      </c>
      <c r="F47" s="48">
        <f>INDEX(tblMatières[Quantité déclarée (tonnes)],MATCH($B47,tblMatières[Matière],0))</f>
        <v>678</v>
      </c>
      <c r="G47" s="584">
        <f>E47/$E$49</f>
        <v>2.588280344656736E-3</v>
      </c>
      <c r="H47" s="651">
        <f>G47*$H$55</f>
        <v>159848.10611595676</v>
      </c>
      <c r="J47" s="444"/>
    </row>
    <row r="48" spans="1:10" x14ac:dyDescent="0.25">
      <c r="A48" s="43" t="str">
        <f>'Sommaire exécutif'!$A47</f>
        <v>Verre TOTAL</v>
      </c>
      <c r="B48" s="10"/>
      <c r="C48" s="60">
        <f t="shared" ref="C48:H48" si="19">SUBTOTAL(9,C45:C47)</f>
        <v>150609.19500000001</v>
      </c>
      <c r="D48" s="22">
        <f t="shared" si="19"/>
        <v>118371.55789008729</v>
      </c>
      <c r="E48" s="22">
        <f t="shared" si="19"/>
        <v>32237.637109912706</v>
      </c>
      <c r="F48" s="29">
        <f t="shared" si="19"/>
        <v>150609.19500000001</v>
      </c>
      <c r="G48" s="586">
        <f t="shared" si="19"/>
        <v>0.16322003882882963</v>
      </c>
      <c r="H48" s="298">
        <f t="shared" si="19"/>
        <v>10080211.805812523</v>
      </c>
    </row>
    <row r="49" spans="1:8" ht="15.75" thickBot="1" x14ac:dyDescent="0.3">
      <c r="A49" s="56" t="str">
        <f>'Sommaire exécutif'!$A48</f>
        <v>CONTENANTS ET EMBALLAGES TOTAL</v>
      </c>
      <c r="B49" s="23"/>
      <c r="C49" s="144">
        <f t="shared" ref="C49:E49" si="20">SUBTOTAL(9,C19:C48)</f>
        <v>524256.67600000004</v>
      </c>
      <c r="D49" s="27">
        <f t="shared" si="20"/>
        <v>326746.38656966464</v>
      </c>
      <c r="E49" s="27">
        <f t="shared" si="20"/>
        <v>197510.28943033531</v>
      </c>
      <c r="F49" s="145">
        <f>SUBTOTAL(9,F19:F48)</f>
        <v>524256.67600000004</v>
      </c>
      <c r="G49" s="88">
        <f t="shared" ref="G49:H49" si="21">SUBTOTAL(9,G19:G48)</f>
        <v>1</v>
      </c>
      <c r="H49" s="297">
        <f t="shared" si="21"/>
        <v>61758420.584519885</v>
      </c>
    </row>
    <row r="50" spans="1:8" x14ac:dyDescent="0.25">
      <c r="A50" s="38"/>
      <c r="B50" s="35"/>
      <c r="C50" s="38"/>
      <c r="D50" s="35"/>
      <c r="E50" s="35"/>
      <c r="F50" s="39"/>
      <c r="G50" s="67"/>
      <c r="H50" s="295"/>
    </row>
    <row r="51" spans="1:8" ht="15.75" thickBot="1" x14ac:dyDescent="0.3">
      <c r="A51" s="57" t="str">
        <f>'Sommaire exécutif'!$A50</f>
        <v>TOTAL</v>
      </c>
      <c r="B51" s="14"/>
      <c r="C51" s="62">
        <f t="shared" ref="C51:E51" si="22">SUBTOTAL(9,C10:C49)</f>
        <v>622392.90399999998</v>
      </c>
      <c r="D51" s="25">
        <f t="shared" si="22"/>
        <v>404394.7324863039</v>
      </c>
      <c r="E51" s="25">
        <f t="shared" si="22"/>
        <v>217998.17151369603</v>
      </c>
      <c r="F51" s="31">
        <f>SUBTOTAL(9,F10:F49)</f>
        <v>622392.90399999998</v>
      </c>
      <c r="G51" s="150"/>
      <c r="H51" s="301">
        <f>SUBTOTAL(9,H10:H49)</f>
        <v>79318850.613360018</v>
      </c>
    </row>
    <row r="52" spans="1:8" ht="15.75" thickTop="1" x14ac:dyDescent="0.25">
      <c r="A52" s="38"/>
      <c r="B52" s="35"/>
      <c r="G52" s="37"/>
      <c r="H52" s="303"/>
    </row>
    <row r="53" spans="1:8" x14ac:dyDescent="0.25">
      <c r="A53" s="42" t="s">
        <v>70</v>
      </c>
      <c r="B53" s="95"/>
      <c r="C53" s="94"/>
      <c r="D53" s="94"/>
      <c r="E53" s="94"/>
      <c r="F53" s="94"/>
      <c r="G53" s="94"/>
      <c r="H53" s="304"/>
    </row>
    <row r="54" spans="1:8" x14ac:dyDescent="0.25">
      <c r="A54" s="98" t="str">
        <f>'Coûts nets'!B51</f>
        <v>Imprimés</v>
      </c>
      <c r="B54" s="96"/>
      <c r="C54" s="93"/>
      <c r="D54" s="93"/>
      <c r="E54" s="93"/>
      <c r="F54" s="93"/>
      <c r="G54" s="93"/>
      <c r="H54" s="305">
        <f>'Coûts nets'!$G51*$G$8</f>
        <v>17560430.028840132</v>
      </c>
    </row>
    <row r="55" spans="1:8" x14ac:dyDescent="0.25">
      <c r="A55" s="99" t="str">
        <f>'Coûts nets'!B52</f>
        <v>Contenants et emballages</v>
      </c>
      <c r="B55" s="49"/>
      <c r="C55" s="54"/>
      <c r="D55" s="54"/>
      <c r="E55" s="54"/>
      <c r="F55" s="54"/>
      <c r="G55" s="54"/>
      <c r="H55" s="306">
        <f>'Coûts nets'!$G52*$G$8</f>
        <v>61758420.584519878</v>
      </c>
    </row>
  </sheetData>
  <sheetProtection algorithmName="SHA-512" hashValue="oYe9hfwCS4OYwiPQcrjQdPT8IWhkCerwPC48f69UVZGRgr91YE8RDfEnz4iV601yAAL3OH9OaIjpl6vBk0Iuag==" saltValue="c5mLRLfwEuIx5p+/LhgHHg==" spinCount="100000" sheet="1" objects="1" scenarios="1" selectLockedCells="1"/>
  <mergeCells count="2">
    <mergeCell ref="G6:H6"/>
    <mergeCell ref="C6:F6"/>
  </mergeCells>
  <pageMargins left="0.7" right="0.7" top="0.75" bottom="0.75" header="0.3" footer="0.3"/>
  <pageSetup scale="55" fitToHeight="0" orientation="landscape" r:id="rId1"/>
  <ignoredErrors>
    <ignoredError sqref="C34:H37 C27:H32 C39:H40 C42:H43" formula="1"/>
  </ignoredError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5A95BAD2F59D45B6EED83DD4FF5678" ma:contentTypeVersion="11" ma:contentTypeDescription="Crée un document." ma:contentTypeScope="" ma:versionID="3ad31acc30659078976e7da4ee26ddb9">
  <xsd:schema xmlns:xsd="http://www.w3.org/2001/XMLSchema" xmlns:xs="http://www.w3.org/2001/XMLSchema" xmlns:p="http://schemas.microsoft.com/office/2006/metadata/properties" xmlns:ns2="bcb01eeb-cceb-41df-92ee-107fb8c093ea" xmlns:ns3="79b60f93-c85e-4605-8932-d2bf716b3627" targetNamespace="http://schemas.microsoft.com/office/2006/metadata/properties" ma:root="true" ma:fieldsID="1fa30c07d2927809f9da40a62d0fc03b" ns2:_="" ns3:_="">
    <xsd:import namespace="bcb01eeb-cceb-41df-92ee-107fb8c093ea"/>
    <xsd:import namespace="79b60f93-c85e-4605-8932-d2bf716b362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b01eeb-cceb-41df-92ee-107fb8c093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b60f93-c85e-4605-8932-d2bf716b3627"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B17D49-F482-4EB3-B74D-DD8DD0C6DD0F}">
  <ds:schemaRefs>
    <ds:schemaRef ds:uri="http://schemas.microsoft.com/sharepoint/v3/contenttype/forms"/>
  </ds:schemaRefs>
</ds:datastoreItem>
</file>

<file path=customXml/itemProps2.xml><?xml version="1.0" encoding="utf-8"?>
<ds:datastoreItem xmlns:ds="http://schemas.openxmlformats.org/officeDocument/2006/customXml" ds:itemID="{65047569-1B74-4FB5-96DF-D2BBA50909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b01eeb-cceb-41df-92ee-107fb8c093ea"/>
    <ds:schemaRef ds:uri="79b60f93-c85e-4605-8932-d2bf716b36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B46039-8532-4BF8-9C71-66FC51EE24DF}">
  <ds:schemaRefs>
    <ds:schemaRef ds:uri="http://schemas.microsoft.com/office/2006/metadata/properties"/>
    <ds:schemaRef ds:uri="http://purl.org/dc/terms/"/>
    <ds:schemaRef ds:uri="bcb01eeb-cceb-41df-92ee-107fb8c093ea"/>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79b60f93-c85e-4605-8932-d2bf716b362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60</vt:i4>
      </vt:variant>
    </vt:vector>
  </HeadingPairs>
  <TitlesOfParts>
    <vt:vector size="75" baseType="lpstr">
      <vt:lpstr>Révision</vt:lpstr>
      <vt:lpstr>Page couverture</vt:lpstr>
      <vt:lpstr>Sommaire exécutif</vt:lpstr>
      <vt:lpstr>Paramètres</vt:lpstr>
      <vt:lpstr>Déclaration</vt:lpstr>
      <vt:lpstr>Caractérisation</vt:lpstr>
      <vt:lpstr>Coûts nets</vt:lpstr>
      <vt:lpstr>Sommaire matières</vt:lpstr>
      <vt:lpstr>Facteur 1</vt:lpstr>
      <vt:lpstr>Facteur 2</vt:lpstr>
      <vt:lpstr>Facteur 3</vt:lpstr>
      <vt:lpstr>Frais de gestion &amp; RQ</vt:lpstr>
      <vt:lpstr>Limitation hausse</vt:lpstr>
      <vt:lpstr>Crédit contenu recyclé</vt:lpstr>
      <vt:lpstr>Tarif</vt:lpstr>
      <vt:lpstr>AnnéeRéf</vt:lpstr>
      <vt:lpstr>AnnéeTarif</vt:lpstr>
      <vt:lpstr>AnticipationTarifFixe</vt:lpstr>
      <vt:lpstr>AutresParamètres</vt:lpstr>
      <vt:lpstr>CompensationMaxRM</vt:lpstr>
      <vt:lpstr>CoûtsAssumésEEQ</vt:lpstr>
      <vt:lpstr>CoûtsAssumésIndustrie</vt:lpstr>
      <vt:lpstr>CoûtsNetsAprèsMatOrph</vt:lpstr>
      <vt:lpstr>CoûtsNetsDéclarés</vt:lpstr>
      <vt:lpstr>CoutsNetsEstimé</vt:lpstr>
      <vt:lpstr>CoûtTotalCompenser</vt:lpstr>
      <vt:lpstr>Facteur1</vt:lpstr>
      <vt:lpstr>Facteur2</vt:lpstr>
      <vt:lpstr>Facteur3</vt:lpstr>
      <vt:lpstr>FondsRetraitCE</vt:lpstr>
      <vt:lpstr>FondsRetraitConjoint</vt:lpstr>
      <vt:lpstr>FondsRetraitImprimé</vt:lpstr>
      <vt:lpstr>FondsRisque</vt:lpstr>
      <vt:lpstr>FondsRisqueActuel</vt:lpstr>
      <vt:lpstr>FondsRisquePourcCible</vt:lpstr>
      <vt:lpstr>FraisAdminÉEQ</vt:lpstr>
      <vt:lpstr>FraisGestionImputés</vt:lpstr>
      <vt:lpstr>FraisProvisionEtRisque</vt:lpstr>
      <vt:lpstr>FraisRDÉEQ</vt:lpstr>
      <vt:lpstr>FraisRQ</vt:lpstr>
      <vt:lpstr>Tarif!Impression_des_titres</vt:lpstr>
      <vt:lpstr>IndemnitéRQ</vt:lpstr>
      <vt:lpstr>LimiteHausse</vt:lpstr>
      <vt:lpstr>ListeMatières</vt:lpstr>
      <vt:lpstr>MontantFraisMun</vt:lpstr>
      <vt:lpstr>MontantMatOrphelines</vt:lpstr>
      <vt:lpstr>MontantPartEEQ</vt:lpstr>
      <vt:lpstr>MontantPE</vt:lpstr>
      <vt:lpstr>ObjectifRecup</vt:lpstr>
      <vt:lpstr>PartCERelative</vt:lpstr>
      <vt:lpstr>PartCoutContenants</vt:lpstr>
      <vt:lpstr>PartCoutImprimés</vt:lpstr>
      <vt:lpstr>PartEEQ</vt:lpstr>
      <vt:lpstr>PartImprimésRelative</vt:lpstr>
      <vt:lpstr>PartIndustrie</vt:lpstr>
      <vt:lpstr>PourcFraisMun</vt:lpstr>
      <vt:lpstr>PourcMatOrphelines</vt:lpstr>
      <vt:lpstr>PourcPE</vt:lpstr>
      <vt:lpstr>ProvCréances</vt:lpstr>
      <vt:lpstr>RabaisCrédit</vt:lpstr>
      <vt:lpstr>rgDéclaration_Matières</vt:lpstr>
      <vt:lpstr>rgDéclaration_NbDécl</vt:lpstr>
      <vt:lpstr>rgDéclaration_QtéFinale</vt:lpstr>
      <vt:lpstr>rgTarif_Matières</vt:lpstr>
      <vt:lpstr>rgTarif_TxFinal</vt:lpstr>
      <vt:lpstr>TauxStewardship</vt:lpstr>
      <vt:lpstr>TonnageCrédit</vt:lpstr>
      <vt:lpstr>'Coûts nets'!Zone_d_impression</vt:lpstr>
      <vt:lpstr>'Crédit contenu recyclé'!Zone_d_impression</vt:lpstr>
      <vt:lpstr>Déclaration!Zone_d_impression</vt:lpstr>
      <vt:lpstr>'Frais de gestion &amp; RQ'!Zone_d_impression</vt:lpstr>
      <vt:lpstr>'Limitation hausse'!Zone_d_impression</vt:lpstr>
      <vt:lpstr>Paramètres!Zone_d_impression</vt:lpstr>
      <vt:lpstr>'Sommaire exécutif'!Zone_d_impression</vt:lpstr>
      <vt:lpstr>Tarif!Zone_d_impression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2015-11-03T16:43:59Z</dcterms:created>
  <dcterms:modified xsi:type="dcterms:W3CDTF">2021-07-20T12:24:34Z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0x0101001A5A95BAD2F59D45B6EED83DD4FF5678</vt:lpwstr>
  </property>
  <property fmtid="{D5CDD505-2E9C-101B-9397-08002B2CF9AE}" pid="3" name="Order">
    <vt:r8>633400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