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5" yWindow="6315" windowWidth="19440" windowHeight="5655" tabRatio="902"/>
  </bookViews>
  <sheets>
    <sheet name="Cover page" sheetId="18" r:id="rId1"/>
    <sheet name="Executive Summary" sheetId="10" r:id="rId2"/>
    <sheet name="Parameters" sheetId="1" r:id="rId3"/>
    <sheet name="Reporting" sheetId="3" r:id="rId4"/>
    <sheet name="Characterization" sheetId="4" r:id="rId5"/>
    <sheet name="Net Costs" sheetId="7" r:id="rId6"/>
    <sheet name="Materials summary" sheetId="17" r:id="rId7"/>
    <sheet name="Factor 1" sheetId="11" r:id="rId8"/>
    <sheet name="Factor 2" sheetId="13" r:id="rId9"/>
    <sheet name="Factor 3" sheetId="12" r:id="rId10"/>
    <sheet name="Admin expenses &amp; R-Q" sheetId="15" r:id="rId11"/>
    <sheet name="Fees hike cap" sheetId="19" r:id="rId12"/>
    <sheet name="Credit recycled content" sheetId="8" r:id="rId13"/>
    <sheet name="Fees" sheetId="2" r:id="rId14"/>
  </sheets>
  <definedNames>
    <definedName name="AnnéeRéf">Parameters!$C$6</definedName>
    <definedName name="AnnéeTarif">Parameters!$C$4</definedName>
    <definedName name="AnticipationTarifFixe">Parameters!$C$20</definedName>
    <definedName name="AutresParamètres">Parameters!$J$4:$J$32</definedName>
    <definedName name="CompensationMaxRM">Parameters!$C$15</definedName>
    <definedName name="CoûtsAssumésEEQ">'Net Costs'!$C$19</definedName>
    <definedName name="CoûtsAssumésIndustrie">'Net Costs'!$C$16</definedName>
    <definedName name="CoûtsNetsAprèsMatOrph">'Net Costs'!$C$8</definedName>
    <definedName name="CoûtsNetsDéclarés">Parameters!$C$9</definedName>
    <definedName name="CoutsNetsEstimé">'Net Costs'!$C$10</definedName>
    <definedName name="CoûtTotalCompenser">'Net Costs'!$H$50</definedName>
    <definedName name="Facteur1">Parameters!$C$23</definedName>
    <definedName name="Facteur2">Parameters!$C$24</definedName>
    <definedName name="Facteur3">Parameters!$C$25</definedName>
    <definedName name="FondsRetraitCE">Parameters!$C$42</definedName>
    <definedName name="FondsRetraitConjoint">Parameters!$C$40</definedName>
    <definedName name="FondsRetraitImprimé">Parameters!$C$41</definedName>
    <definedName name="FondsRisque">'Net Costs'!$C$35</definedName>
    <definedName name="FondsRisqueActuel">Parameters!$C$37</definedName>
    <definedName name="FondsRisquePourcCible">Parameters!$C$38</definedName>
    <definedName name="FraisAdminÉEQ">Parameters!$C$17</definedName>
    <definedName name="FraisGestionImputés">'Net Costs'!$C$30</definedName>
    <definedName name="FraisMun">Parameters!$C$12</definedName>
    <definedName name="FraisProvisionEtRisque">'Net Costs'!$C$36</definedName>
    <definedName name="FraisRDÉEQ">Parameters!$C$18</definedName>
    <definedName name="FraisRQ">'Net Costs'!$C$23</definedName>
    <definedName name="_xlnm.Print_Titles" localSheetId="13">Fees!$B:$C,Fees!$2:$3</definedName>
    <definedName name="IndemnitéRQ">Parameters!$C$16</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LimiteHausse">Parameters!$C$44</definedName>
    <definedName name="ListeMatières">Parameters!$B$48:$B$77</definedName>
    <definedName name="ObjectifRecup">Parameters!$C$26</definedName>
    <definedName name="PartCERelative">'Net Costs'!$D$49</definedName>
    <definedName name="PartCoutContenants">Parameters!$C$30</definedName>
    <definedName name="PartCoutImprimés">Parameters!$C$29</definedName>
    <definedName name="PartEEQ">Parameters!$C$14</definedName>
    <definedName name="PartImprimésRelative">'Net Costs'!$D$48</definedName>
    <definedName name="PartIndustrie">Parameters!$C$13</definedName>
    <definedName name="PourcMatOrphelines">Parameters!$C$10</definedName>
    <definedName name="PourcPE">Parameters!$C$11</definedName>
    <definedName name="ProvCréances">Parameters!$C$19</definedName>
    <definedName name="RabaisCrédit">Parameters!$C$34</definedName>
    <definedName name="rgDéclaration_Matières">Reporting!$C$6:$C$35</definedName>
    <definedName name="rgDéclaration_NbDécl">Reporting!$D$6:$D$35</definedName>
    <definedName name="rgDéclaration_QtéFinale">Reporting!$E$6:$E$35</definedName>
    <definedName name="rgTarif_Matières">Fees!$C$11:$C$51</definedName>
    <definedName name="rgTarif_TxFinal">Fees!$P$11:$P$51</definedName>
    <definedName name="TauxStewardship">Parameters!$B$47:$D$77</definedName>
    <definedName name="TonnageCrédit">Parameters!$C$33</definedName>
    <definedName name="_xlnm.Print_Area" localSheetId="10">'Admin expenses &amp; R-Q'!$A$1:$G$50</definedName>
    <definedName name="_xlnm.Print_Area" localSheetId="12">'Credit recycled content'!$B$1:$K$46</definedName>
    <definedName name="_xlnm.Print_Area" localSheetId="1">'Executive Summary'!$A$1:$K$49</definedName>
    <definedName name="_xlnm.Print_Area" localSheetId="13">Fees!$B$2:$P$51</definedName>
    <definedName name="_xlnm.Print_Area" localSheetId="11">'Fees hike cap'!$A$1:$H$50</definedName>
    <definedName name="_xlnm.Print_Area" localSheetId="5">'Net Costs'!$B$2:$I$52</definedName>
    <definedName name="_xlnm.Print_Area" localSheetId="2">Parameters!$B$1:$I$45</definedName>
    <definedName name="_xlnm.Print_Area" localSheetId="3">Reporting!$B$2:$E$36</definedName>
  </definedNames>
  <calcPr calcId="152511"/>
</workbook>
</file>

<file path=xl/calcChain.xml><?xml version="1.0" encoding="utf-8"?>
<calcChain xmlns="http://schemas.openxmlformats.org/spreadsheetml/2006/main">
  <c r="N8" i="2" l="1"/>
  <c r="M8" i="2"/>
  <c r="B3" i="8"/>
  <c r="C6" i="19"/>
  <c r="C6" i="15"/>
  <c r="G6" i="12"/>
  <c r="E6" i="13"/>
  <c r="B13" i="19"/>
  <c r="C39" i="7" l="1"/>
  <c r="N42" i="2"/>
  <c r="N45" i="2"/>
  <c r="N48" i="2"/>
  <c r="N47" i="2"/>
  <c r="N46" i="2"/>
  <c r="N43" i="2"/>
  <c r="N40" i="2"/>
  <c r="N38" i="2"/>
  <c r="N33" i="2"/>
  <c r="N28" i="2"/>
  <c r="N30" i="2"/>
  <c r="N20" i="2"/>
  <c r="N12" i="2"/>
  <c r="D13" i="19"/>
  <c r="C35" i="19"/>
  <c r="C30" i="19"/>
  <c r="C20" i="19"/>
  <c r="C13" i="19"/>
  <c r="A50" i="19"/>
  <c r="A48" i="19"/>
  <c r="A47" i="19"/>
  <c r="B46" i="19"/>
  <c r="C46" i="19" s="1"/>
  <c r="B45" i="19"/>
  <c r="D45" i="19" s="1"/>
  <c r="A45" i="19"/>
  <c r="A44" i="19"/>
  <c r="B43" i="19"/>
  <c r="D43" i="19" s="1"/>
  <c r="B42" i="19"/>
  <c r="C42" i="19" s="1"/>
  <c r="A42" i="19"/>
  <c r="A41" i="19"/>
  <c r="B40" i="19"/>
  <c r="C40" i="19" s="1"/>
  <c r="B39" i="19"/>
  <c r="D39" i="19" s="1"/>
  <c r="A39" i="19"/>
  <c r="A38" i="19"/>
  <c r="B37" i="19"/>
  <c r="D37" i="19" s="1"/>
  <c r="B36" i="19"/>
  <c r="C36" i="19" s="1"/>
  <c r="B35" i="19"/>
  <c r="D35" i="19" s="1"/>
  <c r="B34" i="19"/>
  <c r="D34" i="19" s="1"/>
  <c r="B33" i="19"/>
  <c r="D33" i="19" s="1"/>
  <c r="B32" i="19"/>
  <c r="C32" i="19" s="1"/>
  <c r="B31" i="19"/>
  <c r="C31" i="19" s="1"/>
  <c r="B30" i="19"/>
  <c r="D30" i="19" s="1"/>
  <c r="B29" i="19"/>
  <c r="D29" i="19" s="1"/>
  <c r="B28" i="19"/>
  <c r="C28" i="19" s="1"/>
  <c r="B27" i="19"/>
  <c r="D27" i="19" s="1"/>
  <c r="A27" i="19"/>
  <c r="A26" i="19"/>
  <c r="B25" i="19"/>
  <c r="D25" i="19" s="1"/>
  <c r="B24" i="19"/>
  <c r="C24" i="19" s="1"/>
  <c r="B23" i="19"/>
  <c r="C23" i="19" s="1"/>
  <c r="B22" i="19"/>
  <c r="C22" i="19" s="1"/>
  <c r="B21" i="19"/>
  <c r="D21" i="19" s="1"/>
  <c r="B20" i="19"/>
  <c r="D20" i="19" s="1"/>
  <c r="B19" i="19"/>
  <c r="C19" i="19" s="1"/>
  <c r="A19" i="19"/>
  <c r="A18" i="19"/>
  <c r="A16" i="19"/>
  <c r="B15" i="19"/>
  <c r="C15" i="19" s="1"/>
  <c r="B14" i="19"/>
  <c r="D14" i="19" s="1"/>
  <c r="B12" i="19"/>
  <c r="C12" i="19" s="1"/>
  <c r="B11" i="19"/>
  <c r="D11" i="19" s="1"/>
  <c r="B10" i="19"/>
  <c r="D10" i="19" s="1"/>
  <c r="A9" i="19"/>
  <c r="B7" i="19"/>
  <c r="A7" i="19"/>
  <c r="B5" i="19"/>
  <c r="A5" i="19"/>
  <c r="B4" i="19"/>
  <c r="A4" i="19"/>
  <c r="B3" i="19"/>
  <c r="A3" i="19"/>
  <c r="C11" i="19" l="1"/>
  <c r="C27" i="19"/>
  <c r="C33" i="19"/>
  <c r="C43" i="19"/>
  <c r="D19" i="19"/>
  <c r="D24" i="19"/>
  <c r="D40" i="19"/>
  <c r="C29" i="19"/>
  <c r="C34" i="19"/>
  <c r="D46" i="19"/>
  <c r="D22" i="19"/>
  <c r="D31" i="19"/>
  <c r="H31" i="19" s="1"/>
  <c r="C10" i="19"/>
  <c r="C37" i="19"/>
  <c r="D15" i="19"/>
  <c r="D23" i="19"/>
  <c r="H23" i="19" s="1"/>
  <c r="C14" i="19"/>
  <c r="C21" i="19"/>
  <c r="C25" i="19"/>
  <c r="C39" i="19"/>
  <c r="C45" i="19"/>
  <c r="D12" i="19"/>
  <c r="D28" i="19"/>
  <c r="H28" i="19" s="1"/>
  <c r="D32" i="19"/>
  <c r="H32" i="19" s="1"/>
  <c r="D36" i="19"/>
  <c r="D42" i="19"/>
  <c r="H42" i="19" s="1"/>
  <c r="H20" i="19"/>
  <c r="H24" i="19"/>
  <c r="H19" i="19"/>
  <c r="H12" i="19"/>
  <c r="H36" i="19"/>
  <c r="H29" i="19"/>
  <c r="H33" i="19"/>
  <c r="H37" i="19"/>
  <c r="H43" i="19"/>
  <c r="H11" i="19"/>
  <c r="H22" i="19"/>
  <c r="H40" i="19"/>
  <c r="H27" i="19"/>
  <c r="H46" i="19"/>
  <c r="H15" i="19"/>
  <c r="H35" i="19"/>
  <c r="H13" i="19"/>
  <c r="H10" i="19"/>
  <c r="H14" i="19"/>
  <c r="H21" i="19"/>
  <c r="H25" i="19"/>
  <c r="H30" i="19"/>
  <c r="H34" i="19"/>
  <c r="H39" i="19"/>
  <c r="H45" i="19"/>
  <c r="C47" i="19"/>
  <c r="B7" i="12"/>
  <c r="C16" i="19" l="1"/>
  <c r="C26" i="19"/>
  <c r="C38" i="19"/>
  <c r="C44" i="19"/>
  <c r="C41" i="19"/>
  <c r="B51" i="2"/>
  <c r="B49" i="2"/>
  <c r="B48" i="2"/>
  <c r="B46" i="2"/>
  <c r="B45" i="2"/>
  <c r="B43" i="2"/>
  <c r="B42" i="2"/>
  <c r="B40" i="2"/>
  <c r="B39" i="2"/>
  <c r="B28" i="2"/>
  <c r="B27" i="2"/>
  <c r="B20" i="2"/>
  <c r="B19" i="2"/>
  <c r="B17" i="2"/>
  <c r="B10" i="2"/>
  <c r="P8" i="2"/>
  <c r="G8" i="2"/>
  <c r="F8" i="2"/>
  <c r="E8" i="2"/>
  <c r="D8" i="2"/>
  <c r="C8" i="2"/>
  <c r="B8" i="2"/>
  <c r="H4" i="8"/>
  <c r="B46" i="8"/>
  <c r="B44" i="8"/>
  <c r="B43" i="8"/>
  <c r="B41" i="8"/>
  <c r="B40" i="8"/>
  <c r="B38" i="8"/>
  <c r="B37" i="8"/>
  <c r="B35" i="8"/>
  <c r="B34" i="8"/>
  <c r="B23" i="8"/>
  <c r="B22" i="8"/>
  <c r="B15" i="8"/>
  <c r="B14" i="8"/>
  <c r="B12" i="8"/>
  <c r="B5" i="8"/>
  <c r="C4" i="8"/>
  <c r="B4" i="8"/>
  <c r="A50" i="15"/>
  <c r="A48" i="15"/>
  <c r="A47" i="15"/>
  <c r="A45" i="15"/>
  <c r="A44" i="15"/>
  <c r="A42" i="15"/>
  <c r="A41" i="15"/>
  <c r="A39" i="15"/>
  <c r="A38" i="15"/>
  <c r="A27" i="15"/>
  <c r="A26" i="15"/>
  <c r="A19" i="15"/>
  <c r="A18" i="15"/>
  <c r="A16" i="15"/>
  <c r="A9" i="15"/>
  <c r="B7" i="15"/>
  <c r="A7" i="15"/>
  <c r="A52" i="12"/>
  <c r="A50" i="12"/>
  <c r="A48" i="12"/>
  <c r="A47" i="12"/>
  <c r="A45" i="12"/>
  <c r="A44" i="12"/>
  <c r="A42" i="12"/>
  <c r="A41" i="12"/>
  <c r="A39" i="12"/>
  <c r="A38" i="12"/>
  <c r="A27" i="12"/>
  <c r="A26" i="12"/>
  <c r="A19" i="12"/>
  <c r="A18" i="12"/>
  <c r="A16" i="12"/>
  <c r="A9" i="12"/>
  <c r="A7" i="12"/>
  <c r="C48" i="19" l="1"/>
  <c r="C50" i="19" s="1"/>
  <c r="G42" i="8"/>
  <c r="G41" i="8"/>
  <c r="G39" i="8"/>
  <c r="G38" i="8"/>
  <c r="G36" i="8"/>
  <c r="G35" i="8"/>
  <c r="G33" i="8"/>
  <c r="G32" i="8"/>
  <c r="G31" i="8"/>
  <c r="G30" i="8"/>
  <c r="G29" i="8"/>
  <c r="G28" i="8"/>
  <c r="G27" i="8"/>
  <c r="G26" i="8"/>
  <c r="G25" i="8"/>
  <c r="G24" i="8"/>
  <c r="G23" i="8"/>
  <c r="G21" i="8"/>
  <c r="G20" i="8"/>
  <c r="G19" i="8"/>
  <c r="G18" i="8"/>
  <c r="G17" i="8"/>
  <c r="G16" i="8"/>
  <c r="G15" i="8"/>
  <c r="G11" i="8"/>
  <c r="G10" i="8"/>
  <c r="G9" i="8"/>
  <c r="G8" i="8"/>
  <c r="G7" i="8"/>
  <c r="G6" i="8"/>
  <c r="A50" i="13"/>
  <c r="A52" i="13"/>
  <c r="A54" i="11"/>
  <c r="A54" i="12" s="1"/>
  <c r="A53" i="11"/>
  <c r="A53" i="12" s="1"/>
  <c r="A50" i="11"/>
  <c r="A48" i="11"/>
  <c r="A48" i="13" s="1"/>
  <c r="A47" i="11"/>
  <c r="A47" i="13" s="1"/>
  <c r="A45" i="11"/>
  <c r="A45" i="13" s="1"/>
  <c r="A44" i="11"/>
  <c r="A44" i="13" s="1"/>
  <c r="A42" i="11"/>
  <c r="A42" i="13" s="1"/>
  <c r="A41" i="11"/>
  <c r="A41" i="13" s="1"/>
  <c r="A39" i="11"/>
  <c r="A39" i="13" s="1"/>
  <c r="A38" i="11"/>
  <c r="A38" i="13" s="1"/>
  <c r="A27" i="11"/>
  <c r="A27" i="13" s="1"/>
  <c r="A26" i="11"/>
  <c r="A26" i="13" s="1"/>
  <c r="A9" i="11"/>
  <c r="A9" i="13" s="1"/>
  <c r="A19" i="11"/>
  <c r="A19" i="13" s="1"/>
  <c r="A18" i="11"/>
  <c r="A18" i="13" s="1"/>
  <c r="A16" i="11"/>
  <c r="A16" i="13" s="1"/>
  <c r="F7" i="11"/>
  <c r="E7" i="11"/>
  <c r="D7" i="11"/>
  <c r="C7" i="11"/>
  <c r="B7" i="11"/>
  <c r="B7" i="13" s="1"/>
  <c r="A7" i="11"/>
  <c r="A7" i="13" s="1"/>
  <c r="A53" i="13" l="1"/>
  <c r="A54" i="13"/>
  <c r="L5" i="17"/>
  <c r="L6" i="17"/>
  <c r="L7" i="17"/>
  <c r="L8" i="17"/>
  <c r="L9" i="17"/>
  <c r="L10" i="17"/>
  <c r="L11" i="17"/>
  <c r="L12" i="17"/>
  <c r="L13" i="17"/>
  <c r="L14" i="17"/>
  <c r="L15" i="17"/>
  <c r="L16" i="17"/>
  <c r="L17" i="17"/>
  <c r="L18" i="17"/>
  <c r="L19" i="17"/>
  <c r="L20" i="17"/>
  <c r="L21" i="17"/>
  <c r="L22" i="17"/>
  <c r="L23" i="17"/>
  <c r="L24" i="17"/>
  <c r="L25" i="17"/>
  <c r="L26" i="17"/>
  <c r="L27" i="17"/>
  <c r="L28" i="17"/>
  <c r="L29" i="17"/>
  <c r="L30" i="17"/>
  <c r="L31" i="17"/>
  <c r="L32" i="17"/>
  <c r="L33" i="17"/>
  <c r="L34" i="17"/>
  <c r="C43" i="7" l="1"/>
  <c r="F37" i="4" l="1"/>
  <c r="E37" i="4"/>
  <c r="D37" i="4"/>
  <c r="C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7" i="4"/>
  <c r="E7" i="4"/>
  <c r="G32" i="17" l="1"/>
  <c r="G30" i="17"/>
  <c r="G28" i="17"/>
  <c r="G27" i="17"/>
  <c r="G26" i="17"/>
  <c r="G24" i="17"/>
  <c r="G20" i="17"/>
  <c r="G19" i="17"/>
  <c r="G18" i="17"/>
  <c r="G16" i="17"/>
  <c r="G14" i="17"/>
  <c r="G12" i="17"/>
  <c r="G11" i="17"/>
  <c r="G10" i="17"/>
  <c r="G8" i="17"/>
  <c r="G6" i="17"/>
  <c r="G5" i="17"/>
  <c r="G7" i="17"/>
  <c r="G9" i="17"/>
  <c r="G13" i="17"/>
  <c r="G15" i="17"/>
  <c r="G17" i="17"/>
  <c r="G21" i="17"/>
  <c r="G22" i="17"/>
  <c r="G23" i="17"/>
  <c r="G25" i="17"/>
  <c r="G29" i="17"/>
  <c r="G31" i="17"/>
  <c r="G33" i="17"/>
  <c r="G34" i="17"/>
  <c r="B45" i="10" l="1"/>
  <c r="B44" i="10"/>
  <c r="B42" i="10"/>
  <c r="B41" i="10"/>
  <c r="B39" i="10"/>
  <c r="B38" i="10"/>
  <c r="B36" i="10"/>
  <c r="B35" i="10"/>
  <c r="B34" i="10"/>
  <c r="B33" i="10"/>
  <c r="B32" i="10"/>
  <c r="C47" i="2"/>
  <c r="C46" i="2"/>
  <c r="C44" i="2"/>
  <c r="C43" i="2"/>
  <c r="C41" i="2"/>
  <c r="C40" i="2"/>
  <c r="C38" i="2"/>
  <c r="C37" i="2"/>
  <c r="C36" i="2"/>
  <c r="C35" i="2"/>
  <c r="C34" i="2"/>
  <c r="E29" i="8"/>
  <c r="C42" i="8"/>
  <c r="C41" i="8"/>
  <c r="C39" i="8"/>
  <c r="C38" i="8"/>
  <c r="C36" i="8"/>
  <c r="C35" i="8"/>
  <c r="C33" i="8"/>
  <c r="C32" i="8"/>
  <c r="C31" i="8"/>
  <c r="C30" i="8"/>
  <c r="C29" i="8"/>
  <c r="B46" i="15"/>
  <c r="B45" i="15"/>
  <c r="B43" i="15"/>
  <c r="B42" i="15"/>
  <c r="B40" i="15"/>
  <c r="B39" i="15"/>
  <c r="B37" i="15"/>
  <c r="B36" i="15"/>
  <c r="B35" i="15"/>
  <c r="B34" i="15"/>
  <c r="B33" i="15"/>
  <c r="B46" i="12"/>
  <c r="B45" i="12"/>
  <c r="B43" i="12"/>
  <c r="B42" i="12"/>
  <c r="B40" i="12"/>
  <c r="B39" i="12"/>
  <c r="B37" i="12"/>
  <c r="B36" i="12"/>
  <c r="B35" i="12"/>
  <c r="B34" i="12"/>
  <c r="B33" i="12"/>
  <c r="B46" i="13"/>
  <c r="B45" i="13"/>
  <c r="B43" i="13"/>
  <c r="B42" i="13"/>
  <c r="B40" i="13"/>
  <c r="B39" i="13"/>
  <c r="B37" i="13"/>
  <c r="B36" i="13"/>
  <c r="B35" i="13"/>
  <c r="B34" i="13"/>
  <c r="B33" i="13"/>
  <c r="B46" i="11"/>
  <c r="B45" i="11"/>
  <c r="B43" i="11"/>
  <c r="B42" i="11"/>
  <c r="B40" i="11"/>
  <c r="B39" i="11"/>
  <c r="B37" i="11"/>
  <c r="B36" i="11"/>
  <c r="B35" i="11"/>
  <c r="B34" i="11"/>
  <c r="B33" i="11"/>
  <c r="F24" i="17"/>
  <c r="H24" i="17"/>
  <c r="E33" i="19" s="1"/>
  <c r="M24" i="17"/>
  <c r="N24" i="17"/>
  <c r="P24" i="17"/>
  <c r="I24" i="17" l="1"/>
  <c r="J24" i="17" s="1"/>
  <c r="C33" i="15"/>
  <c r="E33" i="15"/>
  <c r="D33" i="13"/>
  <c r="F33" i="13"/>
  <c r="E33" i="13"/>
  <c r="F33" i="12"/>
  <c r="F33" i="11"/>
  <c r="C32" i="10"/>
  <c r="D33" i="15"/>
  <c r="H29" i="8"/>
  <c r="G34" i="2"/>
  <c r="O24" i="17"/>
  <c r="G33" i="13" l="1"/>
  <c r="I33" i="12"/>
  <c r="H32" i="10"/>
  <c r="B6" i="2" l="1"/>
  <c r="B5" i="2"/>
  <c r="B4" i="2"/>
  <c r="A5" i="15"/>
  <c r="A4" i="15"/>
  <c r="A3" i="15"/>
  <c r="A5" i="12"/>
  <c r="A4" i="12"/>
  <c r="A3" i="12"/>
  <c r="A5" i="13"/>
  <c r="A4" i="13"/>
  <c r="A3" i="13"/>
  <c r="A5" i="11"/>
  <c r="A4" i="11"/>
  <c r="A3" i="11"/>
  <c r="F7" i="12"/>
  <c r="E7" i="12"/>
  <c r="D7" i="12"/>
  <c r="C7" i="12"/>
  <c r="D7" i="13"/>
  <c r="C7" i="13"/>
  <c r="A5" i="10"/>
  <c r="A4" i="10"/>
  <c r="A3" i="10"/>
  <c r="C41" i="7" l="1"/>
  <c r="C40" i="7"/>
  <c r="C9" i="7" l="1"/>
  <c r="C8" i="7"/>
  <c r="C10" i="7" s="1"/>
  <c r="C7" i="7"/>
  <c r="C6" i="7"/>
  <c r="E36" i="3" l="1"/>
  <c r="P5" i="17" l="1"/>
  <c r="P6" i="17"/>
  <c r="P7" i="17"/>
  <c r="P8" i="17"/>
  <c r="P9" i="17"/>
  <c r="P10" i="17"/>
  <c r="P11" i="17"/>
  <c r="P12" i="17"/>
  <c r="P13" i="17"/>
  <c r="P14" i="17"/>
  <c r="P15" i="17"/>
  <c r="P16" i="17"/>
  <c r="P17" i="17"/>
  <c r="P18" i="17"/>
  <c r="P19" i="17"/>
  <c r="P20" i="17"/>
  <c r="P21" i="17"/>
  <c r="P22" i="17"/>
  <c r="P23" i="17"/>
  <c r="P25" i="17"/>
  <c r="P26" i="17"/>
  <c r="P27" i="17"/>
  <c r="P28" i="17"/>
  <c r="P29" i="17"/>
  <c r="P30" i="17"/>
  <c r="P31" i="17"/>
  <c r="P32" i="17"/>
  <c r="P33" i="17"/>
  <c r="P34" i="17"/>
  <c r="N5" i="17"/>
  <c r="N6" i="17"/>
  <c r="N7" i="17"/>
  <c r="N8" i="17"/>
  <c r="N9" i="17"/>
  <c r="N10" i="17"/>
  <c r="N11" i="17"/>
  <c r="N12" i="17"/>
  <c r="N13" i="17"/>
  <c r="N15" i="17"/>
  <c r="N16" i="17"/>
  <c r="N17" i="17"/>
  <c r="N18" i="17"/>
  <c r="N19" i="17"/>
  <c r="N20" i="17"/>
  <c r="N21" i="17"/>
  <c r="N22" i="17"/>
  <c r="N23" i="17"/>
  <c r="N25" i="17"/>
  <c r="N26" i="17"/>
  <c r="N27" i="17"/>
  <c r="N28" i="17"/>
  <c r="N29" i="17"/>
  <c r="N30" i="17"/>
  <c r="N31" i="17"/>
  <c r="N32" i="17"/>
  <c r="N33" i="17"/>
  <c r="N34" i="17"/>
  <c r="M5" i="17"/>
  <c r="M6" i="17"/>
  <c r="M7" i="17"/>
  <c r="M8" i="17"/>
  <c r="M9" i="17"/>
  <c r="M10" i="17"/>
  <c r="M11" i="17"/>
  <c r="M12" i="17"/>
  <c r="M13" i="17"/>
  <c r="M15" i="17"/>
  <c r="M16" i="17"/>
  <c r="M17" i="17"/>
  <c r="M18" i="17"/>
  <c r="M19" i="17"/>
  <c r="M20" i="17"/>
  <c r="M21" i="17"/>
  <c r="M22" i="17"/>
  <c r="M23" i="17"/>
  <c r="M25" i="17"/>
  <c r="M26" i="17"/>
  <c r="M27" i="17"/>
  <c r="M28" i="17"/>
  <c r="M29" i="17"/>
  <c r="M30" i="17"/>
  <c r="M31" i="17"/>
  <c r="M32" i="17"/>
  <c r="M33" i="17"/>
  <c r="M34" i="17"/>
  <c r="O30" i="17" l="1"/>
  <c r="O32" i="17"/>
  <c r="O13" i="17"/>
  <c r="O15" i="17"/>
  <c r="O12" i="17"/>
  <c r="O26" i="17"/>
  <c r="O17" i="17"/>
  <c r="O9" i="17"/>
  <c r="O20" i="17"/>
  <c r="O29" i="17"/>
  <c r="O34" i="17"/>
  <c r="O23" i="17"/>
  <c r="O22" i="17"/>
  <c r="O10" i="17"/>
  <c r="O6" i="17"/>
  <c r="O31" i="17"/>
  <c r="O28" i="17"/>
  <c r="O19" i="17"/>
  <c r="O11" i="17"/>
  <c r="O25" i="17"/>
  <c r="O8" i="17"/>
  <c r="O21" i="17"/>
  <c r="O5" i="17"/>
  <c r="O33" i="17"/>
  <c r="O16" i="17"/>
  <c r="O18" i="17"/>
  <c r="O7" i="17"/>
  <c r="O27" i="17"/>
  <c r="N14" i="17" l="1"/>
  <c r="M14" i="17"/>
  <c r="O14" i="17" l="1"/>
  <c r="C4" i="2" l="1"/>
  <c r="B3" i="15"/>
  <c r="C14" i="1" l="1"/>
  <c r="C17" i="7" l="1"/>
  <c r="B3" i="12"/>
  <c r="B3" i="13"/>
  <c r="B3" i="11"/>
  <c r="H12" i="17" l="1"/>
  <c r="E20" i="19" s="1"/>
  <c r="H8" i="17"/>
  <c r="E13" i="19" s="1"/>
  <c r="H13" i="17"/>
  <c r="E21" i="19" s="1"/>
  <c r="H21" i="17"/>
  <c r="E30" i="19" s="1"/>
  <c r="H30" i="17"/>
  <c r="E40" i="19" s="1"/>
  <c r="H31" i="17"/>
  <c r="E42" i="19" s="1"/>
  <c r="H15" i="17"/>
  <c r="E23" i="19" s="1"/>
  <c r="H32" i="17"/>
  <c r="E43" i="19" s="1"/>
  <c r="H16" i="17"/>
  <c r="E24" i="19" s="1"/>
  <c r="H33" i="17"/>
  <c r="E45" i="19" s="1"/>
  <c r="H17" i="17"/>
  <c r="E25" i="19" s="1"/>
  <c r="H34" i="17"/>
  <c r="E46" i="19" s="1"/>
  <c r="H10" i="17"/>
  <c r="E15" i="19" s="1"/>
  <c r="H18" i="17"/>
  <c r="E27" i="19" s="1"/>
  <c r="H27" i="17"/>
  <c r="E36" i="19" s="1"/>
  <c r="H11" i="17"/>
  <c r="E19" i="19" s="1"/>
  <c r="H19" i="17"/>
  <c r="E28" i="19" s="1"/>
  <c r="H28" i="17"/>
  <c r="E37" i="19" s="1"/>
  <c r="H20" i="17"/>
  <c r="E29" i="19" s="1"/>
  <c r="H29" i="17"/>
  <c r="E39" i="19" s="1"/>
  <c r="H6" i="17"/>
  <c r="E11" i="19" s="1"/>
  <c r="H14" i="17"/>
  <c r="E22" i="19" s="1"/>
  <c r="H22" i="17"/>
  <c r="E31" i="19" s="1"/>
  <c r="H7" i="17"/>
  <c r="E12" i="19" s="1"/>
  <c r="H23" i="17"/>
  <c r="E32" i="19" s="1"/>
  <c r="H25" i="17"/>
  <c r="E34" i="19" s="1"/>
  <c r="H9" i="17"/>
  <c r="E14" i="19" s="1"/>
  <c r="H26" i="17"/>
  <c r="E35" i="19" s="1"/>
  <c r="F8" i="17"/>
  <c r="F16" i="17"/>
  <c r="F25" i="17"/>
  <c r="F33" i="17"/>
  <c r="F9" i="17"/>
  <c r="F17" i="17"/>
  <c r="F26" i="17"/>
  <c r="F34" i="17"/>
  <c r="F12" i="17"/>
  <c r="F20" i="17"/>
  <c r="F29" i="17"/>
  <c r="F13" i="17"/>
  <c r="F30" i="17"/>
  <c r="F14" i="17"/>
  <c r="F31" i="17"/>
  <c r="F5" i="17"/>
  <c r="F21" i="17"/>
  <c r="F7" i="17"/>
  <c r="F15" i="17"/>
  <c r="F23" i="17"/>
  <c r="F32" i="17"/>
  <c r="F10" i="17"/>
  <c r="F18" i="17"/>
  <c r="F27" i="17"/>
  <c r="F11" i="17"/>
  <c r="F19" i="17"/>
  <c r="F28" i="17"/>
  <c r="F6" i="17"/>
  <c r="F22" i="17"/>
  <c r="B3" i="10"/>
  <c r="B5" i="10"/>
  <c r="E47" i="19" l="1"/>
  <c r="E44" i="19"/>
  <c r="E41" i="19"/>
  <c r="E38" i="19"/>
  <c r="E26" i="19"/>
  <c r="I26" i="17"/>
  <c r="J26" i="17" s="1"/>
  <c r="I7" i="17"/>
  <c r="J7" i="17" s="1"/>
  <c r="I29" i="17"/>
  <c r="J29" i="17" s="1"/>
  <c r="I11" i="17"/>
  <c r="J11" i="17" s="1"/>
  <c r="I34" i="17"/>
  <c r="J34" i="17" s="1"/>
  <c r="I32" i="17"/>
  <c r="J32" i="17" s="1"/>
  <c r="I21" i="17"/>
  <c r="J21" i="17" s="1"/>
  <c r="I9" i="17"/>
  <c r="J9" i="17" s="1"/>
  <c r="I22" i="17"/>
  <c r="J22" i="17" s="1"/>
  <c r="I20" i="17"/>
  <c r="J20" i="17" s="1"/>
  <c r="I27" i="17"/>
  <c r="J27" i="17" s="1"/>
  <c r="I17" i="17"/>
  <c r="J17" i="17" s="1"/>
  <c r="I15" i="17"/>
  <c r="J15" i="17" s="1"/>
  <c r="I13" i="17"/>
  <c r="J13" i="17" s="1"/>
  <c r="I25" i="17"/>
  <c r="J25" i="17" s="1"/>
  <c r="I14" i="17"/>
  <c r="J14" i="17" s="1"/>
  <c r="I28" i="17"/>
  <c r="J28" i="17" s="1"/>
  <c r="I18" i="17"/>
  <c r="J18" i="17" s="1"/>
  <c r="I33" i="17"/>
  <c r="J33" i="17" s="1"/>
  <c r="I31" i="17"/>
  <c r="J31" i="17" s="1"/>
  <c r="I8" i="17"/>
  <c r="J8" i="17" s="1"/>
  <c r="I23" i="17"/>
  <c r="J23" i="17" s="1"/>
  <c r="I6" i="17"/>
  <c r="J6" i="17" s="1"/>
  <c r="I19" i="17"/>
  <c r="J19" i="17" s="1"/>
  <c r="I10" i="17"/>
  <c r="J10" i="17" s="1"/>
  <c r="I16" i="17"/>
  <c r="J16" i="17" s="1"/>
  <c r="I30" i="17"/>
  <c r="J30" i="17" s="1"/>
  <c r="I12" i="17"/>
  <c r="J12" i="17" s="1"/>
  <c r="F35" i="17"/>
  <c r="H5" i="17"/>
  <c r="E10" i="19" s="1"/>
  <c r="G35" i="17"/>
  <c r="C5" i="2"/>
  <c r="B4" i="15"/>
  <c r="B4" i="12"/>
  <c r="B4" i="13"/>
  <c r="B4" i="11"/>
  <c r="B4" i="10"/>
  <c r="E48" i="19" l="1"/>
  <c r="E16" i="19"/>
  <c r="E50" i="19" s="1"/>
  <c r="I5" i="17"/>
  <c r="J5" i="17" s="1"/>
  <c r="H35" i="17"/>
  <c r="K9" i="2"/>
  <c r="J9" i="2"/>
  <c r="I9" i="2"/>
  <c r="B31" i="10"/>
  <c r="B30" i="10"/>
  <c r="B29" i="10"/>
  <c r="B28" i="10"/>
  <c r="B27" i="10"/>
  <c r="B26" i="10"/>
  <c r="B24" i="10"/>
  <c r="B23" i="10"/>
  <c r="B22" i="10"/>
  <c r="B21" i="10"/>
  <c r="B20" i="10"/>
  <c r="B19" i="10"/>
  <c r="B18" i="10"/>
  <c r="B14" i="10"/>
  <c r="B13" i="10"/>
  <c r="B12" i="10"/>
  <c r="B11" i="10"/>
  <c r="B10" i="10"/>
  <c r="B9" i="10"/>
  <c r="C33" i="2"/>
  <c r="C32" i="2"/>
  <c r="C31" i="2"/>
  <c r="C30" i="2"/>
  <c r="C29" i="2"/>
  <c r="N29" i="2" s="1"/>
  <c r="N39" i="2" s="1"/>
  <c r="C28" i="2"/>
  <c r="C26" i="2"/>
  <c r="N26" i="2" s="1"/>
  <c r="C25" i="2"/>
  <c r="N25" i="2" s="1"/>
  <c r="C24" i="2"/>
  <c r="N24" i="2" s="1"/>
  <c r="C23" i="2"/>
  <c r="N23" i="2" s="1"/>
  <c r="C22" i="2"/>
  <c r="C21" i="2"/>
  <c r="C20" i="2"/>
  <c r="C16" i="2"/>
  <c r="C15" i="2"/>
  <c r="C14" i="2"/>
  <c r="C13" i="2"/>
  <c r="C12" i="2"/>
  <c r="C11" i="2"/>
  <c r="N11" i="2" s="1"/>
  <c r="N17" i="2" s="1"/>
  <c r="H42" i="8"/>
  <c r="H41" i="8"/>
  <c r="H39" i="8"/>
  <c r="H38" i="8"/>
  <c r="H36" i="8"/>
  <c r="H35" i="8"/>
  <c r="H33" i="8"/>
  <c r="H32" i="8"/>
  <c r="H31" i="8"/>
  <c r="H30" i="8"/>
  <c r="C28" i="8"/>
  <c r="H28" i="8" s="1"/>
  <c r="C27" i="8"/>
  <c r="H27" i="8" s="1"/>
  <c r="C26" i="8"/>
  <c r="H26" i="8" s="1"/>
  <c r="C25" i="8"/>
  <c r="H25" i="8" s="1"/>
  <c r="C24" i="8"/>
  <c r="H24" i="8" s="1"/>
  <c r="C23" i="8"/>
  <c r="H23" i="8" s="1"/>
  <c r="C21" i="8"/>
  <c r="H21" i="8" s="1"/>
  <c r="C20" i="8"/>
  <c r="H20" i="8" s="1"/>
  <c r="C19" i="8"/>
  <c r="H19" i="8" s="1"/>
  <c r="C18" i="8"/>
  <c r="H18" i="8" s="1"/>
  <c r="C17" i="8"/>
  <c r="H17" i="8" s="1"/>
  <c r="C16" i="8"/>
  <c r="H16" i="8" s="1"/>
  <c r="C15" i="8"/>
  <c r="H15" i="8" s="1"/>
  <c r="C11" i="8"/>
  <c r="H11" i="8" s="1"/>
  <c r="C10" i="8"/>
  <c r="H10" i="8" s="1"/>
  <c r="C9" i="8"/>
  <c r="H9" i="8" s="1"/>
  <c r="C8" i="8"/>
  <c r="H8" i="8" s="1"/>
  <c r="C7" i="8"/>
  <c r="H7" i="8" s="1"/>
  <c r="C6" i="8"/>
  <c r="B32" i="15"/>
  <c r="B31" i="15"/>
  <c r="B30" i="15"/>
  <c r="B29" i="15"/>
  <c r="B28" i="15"/>
  <c r="B27" i="15"/>
  <c r="B25" i="15"/>
  <c r="B24" i="15"/>
  <c r="B23" i="15"/>
  <c r="B22" i="15"/>
  <c r="B21" i="15"/>
  <c r="B20" i="15"/>
  <c r="B19" i="15"/>
  <c r="B15" i="15"/>
  <c r="B14" i="15"/>
  <c r="B13" i="15"/>
  <c r="B12" i="15"/>
  <c r="B11" i="15"/>
  <c r="B10" i="15"/>
  <c r="B32" i="12"/>
  <c r="B31" i="12"/>
  <c r="B30" i="12"/>
  <c r="B29" i="12"/>
  <c r="B28" i="12"/>
  <c r="B27" i="12"/>
  <c r="B25" i="12"/>
  <c r="B24" i="12"/>
  <c r="B23" i="12"/>
  <c r="B22" i="12"/>
  <c r="B21" i="12"/>
  <c r="B20" i="12"/>
  <c r="B19" i="12"/>
  <c r="B15" i="12"/>
  <c r="B14" i="12"/>
  <c r="B13" i="12"/>
  <c r="B12" i="12"/>
  <c r="B11" i="12"/>
  <c r="B10" i="12"/>
  <c r="I10" i="12" s="1"/>
  <c r="N27" i="2" l="1"/>
  <c r="N49" i="2" s="1"/>
  <c r="N51" i="2" s="1"/>
  <c r="H9" i="10"/>
  <c r="H37" i="8"/>
  <c r="H43" i="8"/>
  <c r="H34" i="8"/>
  <c r="H22" i="8"/>
  <c r="H40" i="8"/>
  <c r="I46" i="12"/>
  <c r="F46" i="12"/>
  <c r="H39" i="10"/>
  <c r="C39" i="10"/>
  <c r="I15" i="12"/>
  <c r="F15" i="12"/>
  <c r="H10" i="10"/>
  <c r="C10" i="10"/>
  <c r="H21" i="10"/>
  <c r="C21" i="10"/>
  <c r="H30" i="10"/>
  <c r="C30" i="10"/>
  <c r="H41" i="10"/>
  <c r="C41" i="10"/>
  <c r="I19" i="12"/>
  <c r="F19" i="12"/>
  <c r="I28" i="12"/>
  <c r="F28" i="12"/>
  <c r="I37" i="12"/>
  <c r="F37" i="12"/>
  <c r="C11" i="15"/>
  <c r="E11" i="15"/>
  <c r="D11" i="15"/>
  <c r="C22" i="15"/>
  <c r="E22" i="15"/>
  <c r="D22" i="15"/>
  <c r="C31" i="15"/>
  <c r="E31" i="15"/>
  <c r="D31" i="15"/>
  <c r="C42" i="15"/>
  <c r="E42" i="15"/>
  <c r="D42" i="15"/>
  <c r="H11" i="10"/>
  <c r="C11" i="10"/>
  <c r="H22" i="10"/>
  <c r="C22" i="10"/>
  <c r="H31" i="10"/>
  <c r="C31" i="10"/>
  <c r="H42" i="10"/>
  <c r="C42" i="10"/>
  <c r="F10" i="12"/>
  <c r="I25" i="12"/>
  <c r="F25" i="12"/>
  <c r="C29" i="15"/>
  <c r="E29" i="15"/>
  <c r="D29" i="15"/>
  <c r="H20" i="10"/>
  <c r="C20" i="10"/>
  <c r="I36" i="12"/>
  <c r="F36" i="12"/>
  <c r="C40" i="15"/>
  <c r="D40" i="15"/>
  <c r="E40" i="15"/>
  <c r="I29" i="12"/>
  <c r="F29" i="12"/>
  <c r="C12" i="15"/>
  <c r="E12" i="15"/>
  <c r="D12" i="15"/>
  <c r="C43" i="15"/>
  <c r="E43" i="15"/>
  <c r="D43" i="15"/>
  <c r="H23" i="10"/>
  <c r="C23" i="10"/>
  <c r="I30" i="12"/>
  <c r="F30" i="12"/>
  <c r="C34" i="15"/>
  <c r="E34" i="15"/>
  <c r="D34" i="15"/>
  <c r="H34" i="10"/>
  <c r="C34" i="10"/>
  <c r="I31" i="12"/>
  <c r="F31" i="12"/>
  <c r="C25" i="15"/>
  <c r="E25" i="15"/>
  <c r="D25" i="15"/>
  <c r="H14" i="10"/>
  <c r="C14" i="10"/>
  <c r="H26" i="10"/>
  <c r="C26" i="10"/>
  <c r="H35" i="10"/>
  <c r="C35" i="10"/>
  <c r="I14" i="12"/>
  <c r="F14" i="12"/>
  <c r="C20" i="15"/>
  <c r="E20" i="15"/>
  <c r="D20" i="15"/>
  <c r="I27" i="12"/>
  <c r="F27" i="12"/>
  <c r="C30" i="15"/>
  <c r="D30" i="15"/>
  <c r="E30" i="15"/>
  <c r="I39" i="12"/>
  <c r="F39" i="12"/>
  <c r="C32" i="15"/>
  <c r="E32" i="15"/>
  <c r="D32" i="15"/>
  <c r="H33" i="10"/>
  <c r="C33" i="10"/>
  <c r="I21" i="12"/>
  <c r="F21" i="12"/>
  <c r="C13" i="15"/>
  <c r="E13" i="15"/>
  <c r="D13" i="15"/>
  <c r="H13" i="10"/>
  <c r="C13" i="10"/>
  <c r="H45" i="10"/>
  <c r="C45" i="10"/>
  <c r="I11" i="12"/>
  <c r="F11" i="12"/>
  <c r="I42" i="12"/>
  <c r="F42" i="12"/>
  <c r="C35" i="15"/>
  <c r="E35" i="15"/>
  <c r="D35" i="15"/>
  <c r="I12" i="12"/>
  <c r="F12" i="12"/>
  <c r="I23" i="12"/>
  <c r="F23" i="12"/>
  <c r="I32" i="12"/>
  <c r="F32" i="12"/>
  <c r="I43" i="12"/>
  <c r="F43" i="12"/>
  <c r="C15" i="15"/>
  <c r="E15" i="15"/>
  <c r="D15" i="15"/>
  <c r="C27" i="15"/>
  <c r="D27" i="15"/>
  <c r="E27" i="15"/>
  <c r="C36" i="15"/>
  <c r="E36" i="15"/>
  <c r="D36" i="15"/>
  <c r="H18" i="10"/>
  <c r="C18" i="10"/>
  <c r="H27" i="10"/>
  <c r="C27" i="10"/>
  <c r="H36" i="10"/>
  <c r="C36" i="10"/>
  <c r="C9" i="10"/>
  <c r="I35" i="12"/>
  <c r="F35" i="12"/>
  <c r="C39" i="15"/>
  <c r="D39" i="15"/>
  <c r="E39" i="15"/>
  <c r="H29" i="10"/>
  <c r="C29" i="10"/>
  <c r="C10" i="15"/>
  <c r="E10" i="15"/>
  <c r="C21" i="15"/>
  <c r="D21" i="15"/>
  <c r="E21" i="15"/>
  <c r="I20" i="12"/>
  <c r="F20" i="12"/>
  <c r="C23" i="15"/>
  <c r="E23" i="15"/>
  <c r="D23" i="15"/>
  <c r="H12" i="10"/>
  <c r="C12" i="10"/>
  <c r="H44" i="10"/>
  <c r="C44" i="10"/>
  <c r="I40" i="12"/>
  <c r="F40" i="12"/>
  <c r="C24" i="15"/>
  <c r="E24" i="15"/>
  <c r="D24" i="15"/>
  <c r="C45" i="15"/>
  <c r="E45" i="15"/>
  <c r="D45" i="15"/>
  <c r="H24" i="10"/>
  <c r="C24" i="10"/>
  <c r="I22" i="12"/>
  <c r="F22" i="12"/>
  <c r="C14" i="15"/>
  <c r="D14" i="15"/>
  <c r="E14" i="15"/>
  <c r="C46" i="15"/>
  <c r="E46" i="15"/>
  <c r="D46" i="15"/>
  <c r="I13" i="12"/>
  <c r="F13" i="12"/>
  <c r="I24" i="12"/>
  <c r="F24" i="12"/>
  <c r="I34" i="12"/>
  <c r="F34" i="12"/>
  <c r="I45" i="12"/>
  <c r="F45" i="12"/>
  <c r="C19" i="15"/>
  <c r="D19" i="15"/>
  <c r="E19" i="15"/>
  <c r="C28" i="15"/>
  <c r="E28" i="15"/>
  <c r="D28" i="15"/>
  <c r="C37" i="15"/>
  <c r="D37" i="15"/>
  <c r="E37" i="15"/>
  <c r="H19" i="10"/>
  <c r="C19" i="10"/>
  <c r="H28" i="10"/>
  <c r="C28" i="10"/>
  <c r="H38" i="10"/>
  <c r="C38" i="10"/>
  <c r="D10" i="15"/>
  <c r="H6" i="8"/>
  <c r="G14" i="2"/>
  <c r="G25" i="2"/>
  <c r="G35" i="2"/>
  <c r="G46" i="2"/>
  <c r="G26" i="2"/>
  <c r="G47" i="2"/>
  <c r="G16" i="2"/>
  <c r="G37" i="2"/>
  <c r="G20" i="2"/>
  <c r="G38" i="2"/>
  <c r="G21" i="2"/>
  <c r="G30" i="2"/>
  <c r="G40" i="2"/>
  <c r="G11" i="2"/>
  <c r="G22" i="2"/>
  <c r="G31" i="2"/>
  <c r="G41" i="2"/>
  <c r="G15" i="2"/>
  <c r="G36" i="2"/>
  <c r="G28" i="2"/>
  <c r="G29" i="2"/>
  <c r="G12" i="2"/>
  <c r="G23" i="2"/>
  <c r="G32" i="2"/>
  <c r="G43" i="2"/>
  <c r="G13" i="2"/>
  <c r="G24" i="2"/>
  <c r="G33" i="2"/>
  <c r="G44" i="2"/>
  <c r="D36" i="3"/>
  <c r="E10" i="10" l="1"/>
  <c r="E23" i="10"/>
  <c r="F44" i="12"/>
  <c r="G42" i="2"/>
  <c r="D47" i="15"/>
  <c r="H44" i="8"/>
  <c r="G48" i="2"/>
  <c r="E47" i="15"/>
  <c r="C47" i="15"/>
  <c r="C41" i="15"/>
  <c r="F41" i="12"/>
  <c r="C25" i="10"/>
  <c r="C46" i="10"/>
  <c r="E41" i="15"/>
  <c r="D38" i="15"/>
  <c r="C37" i="10"/>
  <c r="E44" i="15"/>
  <c r="G39" i="2"/>
  <c r="D41" i="15"/>
  <c r="C38" i="15"/>
  <c r="C44" i="15"/>
  <c r="C43" i="10"/>
  <c r="D26" i="15"/>
  <c r="E16" i="15"/>
  <c r="C16" i="15"/>
  <c r="D16" i="15"/>
  <c r="F47" i="12"/>
  <c r="F16" i="12"/>
  <c r="E26" i="15"/>
  <c r="G45" i="2"/>
  <c r="G27" i="2"/>
  <c r="H12" i="8"/>
  <c r="C26" i="15"/>
  <c r="C15" i="10"/>
  <c r="G17" i="2"/>
  <c r="C40" i="10"/>
  <c r="E38" i="15"/>
  <c r="F38" i="12"/>
  <c r="D44" i="15"/>
  <c r="F26" i="12"/>
  <c r="D23" i="10"/>
  <c r="D10" i="10"/>
  <c r="D11" i="10"/>
  <c r="D33" i="12"/>
  <c r="E32" i="10"/>
  <c r="D33" i="11"/>
  <c r="C33" i="13"/>
  <c r="E34" i="2"/>
  <c r="D32" i="10"/>
  <c r="F32" i="10" s="1"/>
  <c r="K24" i="17"/>
  <c r="C33" i="12"/>
  <c r="D34" i="2"/>
  <c r="C33" i="11"/>
  <c r="D36" i="10"/>
  <c r="E36" i="10"/>
  <c r="D38" i="10"/>
  <c r="E38" i="10"/>
  <c r="E12" i="2"/>
  <c r="E40" i="2"/>
  <c r="D12" i="2"/>
  <c r="E25" i="2"/>
  <c r="D38" i="2"/>
  <c r="D40" i="2"/>
  <c r="D13" i="2"/>
  <c r="E38" i="2"/>
  <c r="D25" i="2"/>
  <c r="C11" i="12"/>
  <c r="D37" i="12"/>
  <c r="C39" i="12"/>
  <c r="D11" i="12"/>
  <c r="D39" i="12"/>
  <c r="C24" i="12"/>
  <c r="C37" i="12"/>
  <c r="C12" i="12"/>
  <c r="D24" i="12"/>
  <c r="K28" i="17"/>
  <c r="K27" i="17"/>
  <c r="K31" i="17"/>
  <c r="K16" i="17"/>
  <c r="K29" i="17"/>
  <c r="K6" i="17"/>
  <c r="C37" i="13"/>
  <c r="B32" i="13"/>
  <c r="B31" i="13"/>
  <c r="B30" i="13"/>
  <c r="B29" i="13"/>
  <c r="B28" i="13"/>
  <c r="B27" i="13"/>
  <c r="B25" i="13"/>
  <c r="B24" i="13"/>
  <c r="B23" i="13"/>
  <c r="B22" i="13"/>
  <c r="B21" i="13"/>
  <c r="B20" i="13"/>
  <c r="B19" i="13"/>
  <c r="B15" i="13"/>
  <c r="B14" i="13"/>
  <c r="B13" i="13"/>
  <c r="B12" i="13"/>
  <c r="B11" i="13"/>
  <c r="C11" i="13" s="1"/>
  <c r="B10" i="13"/>
  <c r="F46" i="11"/>
  <c r="F45" i="11"/>
  <c r="F43" i="11"/>
  <c r="F42" i="11"/>
  <c r="F40" i="11"/>
  <c r="F39" i="11"/>
  <c r="F37" i="11"/>
  <c r="F36" i="11"/>
  <c r="F35" i="11"/>
  <c r="F34" i="11"/>
  <c r="B32" i="11"/>
  <c r="F32" i="11" s="1"/>
  <c r="B31" i="11"/>
  <c r="F31" i="11" s="1"/>
  <c r="B30" i="11"/>
  <c r="F30" i="11" s="1"/>
  <c r="B29" i="11"/>
  <c r="F29" i="11" s="1"/>
  <c r="B28" i="11"/>
  <c r="F28" i="11" s="1"/>
  <c r="B27" i="11"/>
  <c r="F27" i="11" s="1"/>
  <c r="B25" i="11"/>
  <c r="F25" i="11" s="1"/>
  <c r="B24" i="11"/>
  <c r="F24" i="11" s="1"/>
  <c r="B23" i="11"/>
  <c r="F23" i="11" s="1"/>
  <c r="B22" i="11"/>
  <c r="F22" i="11" s="1"/>
  <c r="B21" i="11"/>
  <c r="F21" i="11" s="1"/>
  <c r="B20" i="11"/>
  <c r="F20" i="11" s="1"/>
  <c r="B19" i="11"/>
  <c r="F19" i="11" s="1"/>
  <c r="B15" i="11"/>
  <c r="F15" i="11" s="1"/>
  <c r="B14" i="11"/>
  <c r="F14" i="11" s="1"/>
  <c r="B13" i="11"/>
  <c r="F13" i="11" s="1"/>
  <c r="B12" i="11"/>
  <c r="F12" i="11" s="1"/>
  <c r="B11" i="11"/>
  <c r="F11" i="11" s="1"/>
  <c r="B10" i="11"/>
  <c r="F10" i="11" s="1"/>
  <c r="F10" i="10" l="1"/>
  <c r="F38" i="10"/>
  <c r="F36" i="10"/>
  <c r="F23" i="10"/>
  <c r="F48" i="12"/>
  <c r="F50" i="12" s="1"/>
  <c r="F44" i="11"/>
  <c r="C48" i="15"/>
  <c r="C50" i="15" s="1"/>
  <c r="H46" i="8"/>
  <c r="D48" i="15"/>
  <c r="D50" i="15" s="1"/>
  <c r="C47" i="10"/>
  <c r="C49" i="10" s="1"/>
  <c r="E48" i="15"/>
  <c r="E50" i="15" s="1"/>
  <c r="F47" i="11"/>
  <c r="G49" i="2"/>
  <c r="G51" i="2" s="1"/>
  <c r="F26" i="11"/>
  <c r="F41" i="11"/>
  <c r="F38" i="11"/>
  <c r="F16" i="11"/>
  <c r="E33" i="11"/>
  <c r="H33" i="13"/>
  <c r="F34" i="2"/>
  <c r="G32" i="10"/>
  <c r="E33" i="12"/>
  <c r="G33" i="12"/>
  <c r="H33" i="12" s="1"/>
  <c r="J33" i="12" s="1"/>
  <c r="G23" i="10"/>
  <c r="G10" i="10"/>
  <c r="G38" i="10"/>
  <c r="G36" i="10"/>
  <c r="F38" i="2"/>
  <c r="C12" i="11"/>
  <c r="D11" i="11"/>
  <c r="E20" i="13"/>
  <c r="F20" i="13"/>
  <c r="D20" i="13"/>
  <c r="E29" i="13"/>
  <c r="F29" i="13"/>
  <c r="D29" i="13"/>
  <c r="F39" i="13"/>
  <c r="E39" i="13"/>
  <c r="D39" i="13"/>
  <c r="C39" i="13"/>
  <c r="E10" i="13"/>
  <c r="F10" i="13"/>
  <c r="D10" i="13"/>
  <c r="F21" i="13"/>
  <c r="E21" i="13"/>
  <c r="D21" i="13"/>
  <c r="E30" i="13"/>
  <c r="F30" i="13"/>
  <c r="D30" i="13"/>
  <c r="E40" i="13"/>
  <c r="F40" i="13"/>
  <c r="D40" i="13"/>
  <c r="F28" i="13"/>
  <c r="E28" i="13"/>
  <c r="D28" i="13"/>
  <c r="E22" i="13"/>
  <c r="F22" i="13"/>
  <c r="D22" i="13"/>
  <c r="F31" i="13"/>
  <c r="E31" i="13"/>
  <c r="D31" i="13"/>
  <c r="F42" i="13"/>
  <c r="E42" i="13"/>
  <c r="D42" i="13"/>
  <c r="D37" i="11"/>
  <c r="F12" i="13"/>
  <c r="E12" i="13"/>
  <c r="D12" i="13"/>
  <c r="E32" i="13"/>
  <c r="F32" i="13"/>
  <c r="D32" i="13"/>
  <c r="F13" i="13"/>
  <c r="E13" i="13"/>
  <c r="D13" i="13"/>
  <c r="E24" i="13"/>
  <c r="F24" i="13"/>
  <c r="D24" i="13"/>
  <c r="E34" i="13"/>
  <c r="F34" i="13"/>
  <c r="D34" i="13"/>
  <c r="E45" i="13"/>
  <c r="F45" i="13"/>
  <c r="D45" i="13"/>
  <c r="C39" i="11"/>
  <c r="F37" i="13"/>
  <c r="E37" i="13"/>
  <c r="D37" i="13"/>
  <c r="E11" i="13"/>
  <c r="F11" i="13"/>
  <c r="D11" i="13"/>
  <c r="E14" i="13"/>
  <c r="F14" i="13"/>
  <c r="D14" i="13"/>
  <c r="F25" i="13"/>
  <c r="E25" i="13"/>
  <c r="D25" i="13"/>
  <c r="F35" i="13"/>
  <c r="E35" i="13"/>
  <c r="D35" i="13"/>
  <c r="F46" i="13"/>
  <c r="E46" i="13"/>
  <c r="D46" i="13"/>
  <c r="C24" i="13"/>
  <c r="C37" i="11"/>
  <c r="E19" i="13"/>
  <c r="F19" i="13"/>
  <c r="D19" i="13"/>
  <c r="C24" i="11"/>
  <c r="E23" i="13"/>
  <c r="F23" i="13"/>
  <c r="D23" i="13"/>
  <c r="E43" i="13"/>
  <c r="F43" i="13"/>
  <c r="D43" i="13"/>
  <c r="E15" i="13"/>
  <c r="F15" i="13"/>
  <c r="D15" i="13"/>
  <c r="F27" i="13"/>
  <c r="E27" i="13"/>
  <c r="D27" i="13"/>
  <c r="E36" i="13"/>
  <c r="F36" i="13"/>
  <c r="D36" i="13"/>
  <c r="D24" i="11"/>
  <c r="D39" i="11"/>
  <c r="C11" i="11"/>
  <c r="F40" i="2"/>
  <c r="F48" i="11" l="1"/>
  <c r="F50" i="11" s="1"/>
  <c r="D44" i="13"/>
  <c r="D41" i="13"/>
  <c r="D26" i="13"/>
  <c r="D38" i="13"/>
  <c r="D47" i="13"/>
  <c r="D16" i="13"/>
  <c r="C33" i="7"/>
  <c r="B5" i="15"/>
  <c r="E10" i="8"/>
  <c r="D48" i="13" l="1"/>
  <c r="D50" i="13" s="1"/>
  <c r="D14" i="10"/>
  <c r="D16" i="2"/>
  <c r="C15" i="12"/>
  <c r="C15" i="11"/>
  <c r="G14" i="13"/>
  <c r="E14" i="10" l="1"/>
  <c r="F14" i="10" s="1"/>
  <c r="E16" i="2"/>
  <c r="C15" i="13"/>
  <c r="D15" i="12"/>
  <c r="D15" i="11"/>
  <c r="K10" i="17"/>
  <c r="G14" i="10" l="1"/>
  <c r="G30" i="13" l="1"/>
  <c r="B5" i="13"/>
  <c r="B5" i="12"/>
  <c r="G8" i="11"/>
  <c r="B5" i="11"/>
  <c r="C12" i="1"/>
  <c r="C24" i="7"/>
  <c r="C28" i="7"/>
  <c r="C27" i="7"/>
  <c r="C6" i="2"/>
  <c r="C15" i="7"/>
  <c r="G45" i="13" l="1"/>
  <c r="C12" i="7"/>
  <c r="C13" i="7" s="1"/>
  <c r="C14" i="7" s="1"/>
  <c r="G35" i="13"/>
  <c r="G15" i="13"/>
  <c r="G28" i="13"/>
  <c r="G32" i="13"/>
  <c r="G37" i="13"/>
  <c r="G12" i="13"/>
  <c r="G20" i="13"/>
  <c r="G22" i="13"/>
  <c r="G24" i="13"/>
  <c r="G42" i="13"/>
  <c r="G39" i="13"/>
  <c r="G27" i="13"/>
  <c r="G29" i="13"/>
  <c r="G31" i="13"/>
  <c r="G34" i="13"/>
  <c r="G36" i="13"/>
  <c r="G10" i="13"/>
  <c r="G13" i="13"/>
  <c r="G19" i="13"/>
  <c r="G21" i="13"/>
  <c r="G23" i="13"/>
  <c r="G25" i="13"/>
  <c r="G46" i="13"/>
  <c r="G43" i="13"/>
  <c r="G40" i="13"/>
  <c r="G11" i="13"/>
  <c r="C29" i="7"/>
  <c r="C16" i="7" l="1"/>
  <c r="C19" i="7" s="1"/>
  <c r="C23" i="7" l="1"/>
  <c r="C25" i="7" s="1"/>
  <c r="C30" i="7" s="1"/>
  <c r="C35" i="7"/>
  <c r="C34" i="7" l="1"/>
  <c r="C36" i="7" s="1"/>
  <c r="G12" i="12"/>
  <c r="D13" i="10" l="1"/>
  <c r="D15" i="2"/>
  <c r="D31" i="10"/>
  <c r="D33" i="2"/>
  <c r="D33" i="10"/>
  <c r="D35" i="2"/>
  <c r="E33" i="10"/>
  <c r="E35" i="2"/>
  <c r="D29" i="10"/>
  <c r="D31" i="2"/>
  <c r="E29" i="10"/>
  <c r="E31" i="2"/>
  <c r="E18" i="10"/>
  <c r="E20" i="2"/>
  <c r="E21" i="10"/>
  <c r="E23" i="2"/>
  <c r="D12" i="10"/>
  <c r="D14" i="2"/>
  <c r="D30" i="10"/>
  <c r="D32" i="2"/>
  <c r="E24" i="10"/>
  <c r="E26" i="2"/>
  <c r="E12" i="10"/>
  <c r="E14" i="2"/>
  <c r="D24" i="10"/>
  <c r="D26" i="2"/>
  <c r="E30" i="10"/>
  <c r="E32" i="2"/>
  <c r="C14" i="12"/>
  <c r="C14" i="11"/>
  <c r="C34" i="11"/>
  <c r="C34" i="12"/>
  <c r="D22" i="12"/>
  <c r="D22" i="11"/>
  <c r="C22" i="13"/>
  <c r="C30" i="12"/>
  <c r="C30" i="11"/>
  <c r="C32" i="11"/>
  <c r="C32" i="12"/>
  <c r="C19" i="13"/>
  <c r="D19" i="12"/>
  <c r="D19" i="11"/>
  <c r="D30" i="12"/>
  <c r="D30" i="11"/>
  <c r="C30" i="13"/>
  <c r="C13" i="11"/>
  <c r="C13" i="12"/>
  <c r="C31" i="12"/>
  <c r="C31" i="11"/>
  <c r="D25" i="11"/>
  <c r="C25" i="13"/>
  <c r="D25" i="12"/>
  <c r="D34" i="11"/>
  <c r="C34" i="13"/>
  <c r="D34" i="12"/>
  <c r="D13" i="11"/>
  <c r="C13" i="13"/>
  <c r="D13" i="12"/>
  <c r="C25" i="11"/>
  <c r="C25" i="12"/>
  <c r="D31" i="12"/>
  <c r="D31" i="11"/>
  <c r="C31" i="13"/>
  <c r="K22" i="17"/>
  <c r="K21" i="17"/>
  <c r="K25" i="17"/>
  <c r="K8" i="17"/>
  <c r="K17" i="17"/>
  <c r="F24" i="10" l="1"/>
  <c r="F29" i="10"/>
  <c r="F33" i="10"/>
  <c r="F12" i="10"/>
  <c r="F30" i="10"/>
  <c r="D11" i="2"/>
  <c r="G29" i="10"/>
  <c r="G24" i="10"/>
  <c r="G30" i="10"/>
  <c r="G33" i="10"/>
  <c r="G12" i="10"/>
  <c r="D18" i="10"/>
  <c r="F18" i="10" s="1"/>
  <c r="D20" i="2"/>
  <c r="E11" i="10"/>
  <c r="F11" i="10" s="1"/>
  <c r="E13" i="2"/>
  <c r="F13" i="2" s="1"/>
  <c r="E31" i="10"/>
  <c r="F31" i="10" s="1"/>
  <c r="E33" i="2"/>
  <c r="D19" i="10"/>
  <c r="D21" i="2"/>
  <c r="E9" i="10"/>
  <c r="E11" i="2"/>
  <c r="D20" i="10"/>
  <c r="D22" i="2"/>
  <c r="D9" i="10"/>
  <c r="D21" i="10"/>
  <c r="F21" i="10" s="1"/>
  <c r="D23" i="2"/>
  <c r="E19" i="10"/>
  <c r="E21" i="2"/>
  <c r="D22" i="10"/>
  <c r="D24" i="2"/>
  <c r="E20" i="10"/>
  <c r="E22" i="2"/>
  <c r="E22" i="10"/>
  <c r="E24" i="2"/>
  <c r="D21" i="12"/>
  <c r="D21" i="11"/>
  <c r="C21" i="13"/>
  <c r="H21" i="13" s="1"/>
  <c r="D23" i="12"/>
  <c r="D23" i="11"/>
  <c r="C23" i="13"/>
  <c r="H23" i="13" s="1"/>
  <c r="C21" i="12"/>
  <c r="G21" i="12" s="1"/>
  <c r="C21" i="11"/>
  <c r="C10" i="12"/>
  <c r="C10" i="11"/>
  <c r="C20" i="12"/>
  <c r="G20" i="12" s="1"/>
  <c r="C20" i="11"/>
  <c r="K11" i="17"/>
  <c r="C19" i="12"/>
  <c r="C19" i="11"/>
  <c r="C23" i="11"/>
  <c r="C23" i="12"/>
  <c r="D32" i="12"/>
  <c r="D32" i="11"/>
  <c r="C32" i="13"/>
  <c r="D10" i="12"/>
  <c r="D10" i="11"/>
  <c r="C10" i="13"/>
  <c r="D12" i="12"/>
  <c r="E12" i="12" s="1"/>
  <c r="D12" i="11"/>
  <c r="E12" i="11" s="1"/>
  <c r="C12" i="13"/>
  <c r="H12" i="13" s="1"/>
  <c r="K14" i="17"/>
  <c r="C22" i="12"/>
  <c r="C22" i="11"/>
  <c r="C20" i="13"/>
  <c r="H20" i="13" s="1"/>
  <c r="D20" i="12"/>
  <c r="D20" i="11"/>
  <c r="K15" i="17"/>
  <c r="H24" i="13"/>
  <c r="K7" i="17"/>
  <c r="K23" i="17"/>
  <c r="K13" i="17"/>
  <c r="K5" i="17"/>
  <c r="K12" i="17"/>
  <c r="G31" i="12"/>
  <c r="G32" i="12"/>
  <c r="G13" i="12"/>
  <c r="F14" i="2"/>
  <c r="G14" i="12"/>
  <c r="G15" i="12"/>
  <c r="H13" i="13"/>
  <c r="H31" i="13"/>
  <c r="H34" i="13"/>
  <c r="H22" i="13"/>
  <c r="H19" i="13"/>
  <c r="H25" i="13"/>
  <c r="H11" i="13"/>
  <c r="E37" i="11"/>
  <c r="H37" i="13"/>
  <c r="E37" i="12"/>
  <c r="G37" i="12"/>
  <c r="F9" i="10" l="1"/>
  <c r="F20" i="10"/>
  <c r="F19" i="10"/>
  <c r="F22" i="10"/>
  <c r="D26" i="11"/>
  <c r="D26" i="12"/>
  <c r="E27" i="2"/>
  <c r="H26" i="13"/>
  <c r="H10" i="13"/>
  <c r="E25" i="10"/>
  <c r="C26" i="13"/>
  <c r="C26" i="12"/>
  <c r="C16" i="12"/>
  <c r="D27" i="2"/>
  <c r="D17" i="2"/>
  <c r="D15" i="10"/>
  <c r="C26" i="11"/>
  <c r="D25" i="10"/>
  <c r="F25" i="10" s="1"/>
  <c r="C16" i="11"/>
  <c r="G19" i="10"/>
  <c r="G22" i="10"/>
  <c r="G18" i="10"/>
  <c r="G11" i="10"/>
  <c r="G21" i="10"/>
  <c r="G20" i="10"/>
  <c r="G9" i="10"/>
  <c r="G31" i="10"/>
  <c r="F21" i="2"/>
  <c r="F22" i="2"/>
  <c r="F24" i="2"/>
  <c r="K9" i="17"/>
  <c r="E13" i="10"/>
  <c r="E15" i="2"/>
  <c r="F15" i="2" s="1"/>
  <c r="E21" i="12"/>
  <c r="D14" i="11"/>
  <c r="E14" i="11" s="1"/>
  <c r="C14" i="13"/>
  <c r="H14" i="13" s="1"/>
  <c r="D14" i="12"/>
  <c r="E14" i="12" s="1"/>
  <c r="E25" i="12"/>
  <c r="F25" i="2"/>
  <c r="E13" i="12"/>
  <c r="E24" i="11"/>
  <c r="F16" i="2"/>
  <c r="G23" i="12"/>
  <c r="H23" i="12" s="1"/>
  <c r="G24" i="12"/>
  <c r="H24" i="12" s="1"/>
  <c r="E24" i="12"/>
  <c r="F26" i="2"/>
  <c r="H31" i="12"/>
  <c r="F32" i="2"/>
  <c r="F35" i="2"/>
  <c r="E34" i="12"/>
  <c r="E20" i="12"/>
  <c r="E31" i="12"/>
  <c r="G34" i="12"/>
  <c r="H34" i="12" s="1"/>
  <c r="F33" i="2"/>
  <c r="G25" i="12"/>
  <c r="H25" i="12" s="1"/>
  <c r="G22" i="12"/>
  <c r="H22" i="12" s="1"/>
  <c r="F23" i="2"/>
  <c r="G19" i="12"/>
  <c r="G10" i="12"/>
  <c r="E11" i="12"/>
  <c r="F12" i="2"/>
  <c r="H21" i="12"/>
  <c r="H32" i="13"/>
  <c r="E32" i="12"/>
  <c r="H13" i="12"/>
  <c r="H20" i="12"/>
  <c r="E31" i="11"/>
  <c r="H12" i="12"/>
  <c r="H15" i="13"/>
  <c r="E15" i="12"/>
  <c r="E25" i="11"/>
  <c r="E20" i="11"/>
  <c r="E32" i="11"/>
  <c r="E23" i="11"/>
  <c r="E21" i="11"/>
  <c r="E13" i="11"/>
  <c r="E15" i="11"/>
  <c r="E34" i="11"/>
  <c r="E22" i="11"/>
  <c r="E19" i="11"/>
  <c r="E10" i="11"/>
  <c r="E11" i="11"/>
  <c r="H37" i="12"/>
  <c r="E15" i="10" l="1"/>
  <c r="F15" i="10" s="1"/>
  <c r="F13" i="10"/>
  <c r="D16" i="11"/>
  <c r="D16" i="12"/>
  <c r="C16" i="13"/>
  <c r="E17" i="2"/>
  <c r="H16" i="13"/>
  <c r="E26" i="11"/>
  <c r="H10" i="12"/>
  <c r="H19" i="12"/>
  <c r="G26" i="12"/>
  <c r="E16" i="11"/>
  <c r="G15" i="11" s="1"/>
  <c r="G13" i="10"/>
  <c r="G25" i="10"/>
  <c r="E23" i="12"/>
  <c r="G11" i="12"/>
  <c r="H11" i="12" s="1"/>
  <c r="J11" i="12" s="1"/>
  <c r="E10" i="12"/>
  <c r="E22" i="12"/>
  <c r="F20" i="2"/>
  <c r="E19" i="12"/>
  <c r="F11" i="2"/>
  <c r="H32" i="12"/>
  <c r="H14" i="12"/>
  <c r="J14" i="12" s="1"/>
  <c r="H15" i="12"/>
  <c r="E6" i="8"/>
  <c r="E8" i="8"/>
  <c r="E9" i="8"/>
  <c r="E11" i="8"/>
  <c r="E15" i="8"/>
  <c r="E16" i="8"/>
  <c r="E17" i="8"/>
  <c r="E18" i="8"/>
  <c r="E19" i="8"/>
  <c r="E20" i="8"/>
  <c r="E21" i="8"/>
  <c r="E41" i="8"/>
  <c r="E42" i="8"/>
  <c r="E38" i="8"/>
  <c r="E39" i="8"/>
  <c r="E35" i="8"/>
  <c r="E36" i="8"/>
  <c r="E23" i="8"/>
  <c r="E24" i="8"/>
  <c r="E25" i="8"/>
  <c r="E26" i="8"/>
  <c r="E27" i="8"/>
  <c r="E28" i="8"/>
  <c r="E30" i="8"/>
  <c r="E31" i="8"/>
  <c r="E32" i="8"/>
  <c r="E33" i="8"/>
  <c r="E7" i="8"/>
  <c r="G15" i="10" l="1"/>
  <c r="G16" i="12"/>
  <c r="F27" i="2"/>
  <c r="E16" i="12"/>
  <c r="H16" i="12"/>
  <c r="E26" i="12"/>
  <c r="H26" i="12"/>
  <c r="F17" i="2"/>
  <c r="G12" i="11"/>
  <c r="G11" i="11"/>
  <c r="G13" i="11"/>
  <c r="G14" i="11"/>
  <c r="G10" i="11"/>
  <c r="C49" i="7"/>
  <c r="C48" i="7"/>
  <c r="G16" i="11" l="1"/>
  <c r="D49" i="7"/>
  <c r="E49" i="7" s="1"/>
  <c r="D48" i="7"/>
  <c r="C50" i="7"/>
  <c r="E48" i="7" l="1"/>
  <c r="F49" i="7"/>
  <c r="G49" i="7" s="1"/>
  <c r="F48" i="7"/>
  <c r="D50" i="7"/>
  <c r="G48" i="7" l="1"/>
  <c r="E50" i="7"/>
  <c r="H49" i="7"/>
  <c r="F50" i="7"/>
  <c r="J54" i="13"/>
  <c r="L54" i="12"/>
  <c r="H54" i="11"/>
  <c r="H48" i="7" l="1"/>
  <c r="L53" i="12"/>
  <c r="J53" i="13"/>
  <c r="H53" i="11"/>
  <c r="G50" i="7"/>
  <c r="H11" i="11" l="1"/>
  <c r="H50" i="7"/>
  <c r="H15" i="11"/>
  <c r="E27" i="10"/>
  <c r="E29" i="2"/>
  <c r="D26" i="10"/>
  <c r="D28" i="2"/>
  <c r="D27" i="10"/>
  <c r="D29" i="2"/>
  <c r="E26" i="10"/>
  <c r="E28" i="2"/>
  <c r="C28" i="12"/>
  <c r="C28" i="11"/>
  <c r="C27" i="12"/>
  <c r="C27" i="11"/>
  <c r="C27" i="13"/>
  <c r="D27" i="11"/>
  <c r="D27" i="12"/>
  <c r="C28" i="13"/>
  <c r="D28" i="11"/>
  <c r="D28" i="12"/>
  <c r="K19" i="17"/>
  <c r="K18" i="17"/>
  <c r="F27" i="10" l="1"/>
  <c r="F26" i="10"/>
  <c r="D43" i="11"/>
  <c r="G26" i="10"/>
  <c r="G27" i="10"/>
  <c r="D43" i="12"/>
  <c r="E44" i="2"/>
  <c r="C43" i="13"/>
  <c r="H43" i="13" s="1"/>
  <c r="E42" i="10"/>
  <c r="E41" i="10"/>
  <c r="E43" i="2"/>
  <c r="D42" i="12"/>
  <c r="D42" i="11"/>
  <c r="C42" i="13"/>
  <c r="D41" i="10"/>
  <c r="D43" i="2"/>
  <c r="C42" i="12"/>
  <c r="C42" i="11"/>
  <c r="D35" i="10"/>
  <c r="C36" i="12"/>
  <c r="D37" i="2"/>
  <c r="C36" i="11"/>
  <c r="E35" i="10"/>
  <c r="E37" i="2"/>
  <c r="D36" i="12"/>
  <c r="C36" i="13"/>
  <c r="H36" i="13" s="1"/>
  <c r="D36" i="11"/>
  <c r="D34" i="10"/>
  <c r="D36" i="2"/>
  <c r="D42" i="10"/>
  <c r="D44" i="2"/>
  <c r="D28" i="10"/>
  <c r="D30" i="2"/>
  <c r="E28" i="10"/>
  <c r="E30" i="2"/>
  <c r="E39" i="10"/>
  <c r="E40" i="10" s="1"/>
  <c r="E41" i="2"/>
  <c r="E42" i="2" s="1"/>
  <c r="D39" i="10"/>
  <c r="D41" i="2"/>
  <c r="D42" i="2" s="1"/>
  <c r="E34" i="10"/>
  <c r="E36" i="2"/>
  <c r="C29" i="12"/>
  <c r="G29" i="12" s="1"/>
  <c r="C29" i="11"/>
  <c r="D35" i="11"/>
  <c r="C35" i="13"/>
  <c r="H35" i="13" s="1"/>
  <c r="D35" i="12"/>
  <c r="D40" i="12"/>
  <c r="D41" i="12" s="1"/>
  <c r="D40" i="11"/>
  <c r="D41" i="11" s="1"/>
  <c r="C40" i="13"/>
  <c r="K26" i="17"/>
  <c r="C35" i="11"/>
  <c r="C35" i="12"/>
  <c r="G35" i="12" s="1"/>
  <c r="C29" i="13"/>
  <c r="H29" i="13" s="1"/>
  <c r="D29" i="12"/>
  <c r="D29" i="11"/>
  <c r="C43" i="12"/>
  <c r="C43" i="11"/>
  <c r="C40" i="12"/>
  <c r="C40" i="11"/>
  <c r="C41" i="11" s="1"/>
  <c r="K30" i="17"/>
  <c r="K32" i="17"/>
  <c r="G30" i="12"/>
  <c r="K20" i="17"/>
  <c r="H30" i="13"/>
  <c r="G28" i="12"/>
  <c r="F29" i="2"/>
  <c r="G27" i="12"/>
  <c r="F28" i="2"/>
  <c r="H28" i="13"/>
  <c r="H27" i="13"/>
  <c r="G39" i="12"/>
  <c r="E39" i="12"/>
  <c r="H39" i="13"/>
  <c r="E39" i="11"/>
  <c r="J21" i="12"/>
  <c r="J20" i="12"/>
  <c r="F42" i="10" l="1"/>
  <c r="F41" i="10"/>
  <c r="F28" i="10"/>
  <c r="F34" i="10"/>
  <c r="D40" i="10"/>
  <c r="F40" i="10" s="1"/>
  <c r="F39" i="10"/>
  <c r="F35" i="10"/>
  <c r="E43" i="11"/>
  <c r="D44" i="11"/>
  <c r="D38" i="11"/>
  <c r="E37" i="10"/>
  <c r="D38" i="12"/>
  <c r="D44" i="12"/>
  <c r="E39" i="2"/>
  <c r="E43" i="10"/>
  <c r="C38" i="11"/>
  <c r="D43" i="10"/>
  <c r="D37" i="10"/>
  <c r="D39" i="2"/>
  <c r="D45" i="2"/>
  <c r="H40" i="13"/>
  <c r="H41" i="13" s="1"/>
  <c r="C41" i="13"/>
  <c r="H42" i="13"/>
  <c r="H44" i="13" s="1"/>
  <c r="C44" i="13"/>
  <c r="H38" i="13"/>
  <c r="E45" i="2"/>
  <c r="C38" i="13"/>
  <c r="C38" i="12"/>
  <c r="C44" i="11"/>
  <c r="H39" i="12"/>
  <c r="G40" i="12"/>
  <c r="H40" i="12" s="1"/>
  <c r="C41" i="12"/>
  <c r="G42" i="12"/>
  <c r="H42" i="12" s="1"/>
  <c r="C44" i="12"/>
  <c r="G42" i="10"/>
  <c r="G28" i="10"/>
  <c r="F44" i="2"/>
  <c r="G34" i="10"/>
  <c r="G35" i="10"/>
  <c r="G39" i="10"/>
  <c r="G41" i="10"/>
  <c r="F36" i="2"/>
  <c r="F30" i="2"/>
  <c r="F41" i="2"/>
  <c r="F42" i="2" s="1"/>
  <c r="E30" i="11"/>
  <c r="E42" i="12"/>
  <c r="E36" i="11"/>
  <c r="E42" i="11"/>
  <c r="E30" i="12"/>
  <c r="E36" i="12"/>
  <c r="H30" i="12"/>
  <c r="G36" i="12"/>
  <c r="H36" i="12" s="1"/>
  <c r="F37" i="2"/>
  <c r="F43" i="2"/>
  <c r="F31" i="2"/>
  <c r="E40" i="11"/>
  <c r="E41" i="11" s="1"/>
  <c r="E43" i="12"/>
  <c r="E27" i="12"/>
  <c r="E29" i="12"/>
  <c r="E35" i="12"/>
  <c r="E28" i="12"/>
  <c r="H28" i="12"/>
  <c r="H27" i="12"/>
  <c r="H29" i="12"/>
  <c r="H35" i="12"/>
  <c r="E28" i="11"/>
  <c r="E29" i="11"/>
  <c r="E35" i="11"/>
  <c r="G43" i="12"/>
  <c r="H43" i="12" s="1"/>
  <c r="E40" i="12"/>
  <c r="E41" i="12" s="1"/>
  <c r="E27" i="11"/>
  <c r="F43" i="10" l="1"/>
  <c r="G40" i="10"/>
  <c r="F37" i="10"/>
  <c r="E44" i="11"/>
  <c r="G38" i="12"/>
  <c r="F39" i="2"/>
  <c r="H44" i="12"/>
  <c r="G41" i="12"/>
  <c r="E38" i="11"/>
  <c r="H41" i="12"/>
  <c r="F45" i="2"/>
  <c r="H38" i="12"/>
  <c r="E38" i="12"/>
  <c r="E44" i="12"/>
  <c r="G44" i="12"/>
  <c r="G43" i="10"/>
  <c r="C45" i="12" l="1"/>
  <c r="K33" i="17"/>
  <c r="C45" i="11"/>
  <c r="D46" i="2"/>
  <c r="D44" i="10"/>
  <c r="D45" i="11"/>
  <c r="C45" i="13"/>
  <c r="D45" i="12"/>
  <c r="E44" i="10"/>
  <c r="E46" i="2"/>
  <c r="J35" i="17"/>
  <c r="I35" i="17"/>
  <c r="D46" i="11"/>
  <c r="E45" i="10"/>
  <c r="E47" i="2"/>
  <c r="C46" i="13"/>
  <c r="H46" i="13" s="1"/>
  <c r="D46" i="12"/>
  <c r="K34" i="17"/>
  <c r="D45" i="10"/>
  <c r="C46" i="11"/>
  <c r="D47" i="2"/>
  <c r="C46" i="12"/>
  <c r="G46" i="12" s="1"/>
  <c r="G37" i="10"/>
  <c r="F45" i="10" l="1"/>
  <c r="F44" i="10"/>
  <c r="D47" i="11"/>
  <c r="D48" i="11" s="1"/>
  <c r="D50" i="11" s="1"/>
  <c r="E48" i="2"/>
  <c r="E49" i="2" s="1"/>
  <c r="E51" i="2" s="1"/>
  <c r="E46" i="10"/>
  <c r="E47" i="10" s="1"/>
  <c r="D47" i="12"/>
  <c r="D48" i="12" s="1"/>
  <c r="D50" i="12" s="1"/>
  <c r="C47" i="13"/>
  <c r="C48" i="13" s="1"/>
  <c r="C50" i="13" s="1"/>
  <c r="C47" i="11"/>
  <c r="C48" i="11" s="1"/>
  <c r="C50" i="11" s="1"/>
  <c r="D46" i="10"/>
  <c r="D48" i="2"/>
  <c r="D49" i="2" s="1"/>
  <c r="D51" i="2" s="1"/>
  <c r="C47" i="12"/>
  <c r="C48" i="12" s="1"/>
  <c r="C50" i="12" s="1"/>
  <c r="G44" i="10"/>
  <c r="G45" i="10"/>
  <c r="F47" i="2"/>
  <c r="F46" i="2"/>
  <c r="K35" i="17"/>
  <c r="E46" i="12"/>
  <c r="G45" i="12"/>
  <c r="E45" i="12"/>
  <c r="H45" i="13"/>
  <c r="H46" i="12"/>
  <c r="J46" i="12" s="1"/>
  <c r="E46" i="11"/>
  <c r="E45" i="11"/>
  <c r="D47" i="10" l="1"/>
  <c r="G47" i="10" s="1"/>
  <c r="F46" i="10"/>
  <c r="E49" i="10"/>
  <c r="H47" i="13"/>
  <c r="H48" i="13" s="1"/>
  <c r="H50" i="13" s="1"/>
  <c r="E47" i="12"/>
  <c r="E48" i="12" s="1"/>
  <c r="E50" i="12" s="1"/>
  <c r="E47" i="11"/>
  <c r="E48" i="11" s="1"/>
  <c r="E50" i="11" s="1"/>
  <c r="F48" i="2"/>
  <c r="F49" i="2" s="1"/>
  <c r="F51" i="2" s="1"/>
  <c r="H45" i="12"/>
  <c r="G47" i="12"/>
  <c r="G48" i="12" s="1"/>
  <c r="G50" i="12" s="1"/>
  <c r="G46" i="10"/>
  <c r="D49" i="10" l="1"/>
  <c r="F49" i="10" s="1"/>
  <c r="F47" i="10"/>
  <c r="J45" i="12"/>
  <c r="J47" i="12" s="1"/>
  <c r="H47" i="12"/>
  <c r="H48" i="12" s="1"/>
  <c r="H50" i="12" s="1"/>
  <c r="G33" i="11"/>
  <c r="H33" i="11" s="1"/>
  <c r="G27" i="11"/>
  <c r="G32" i="11"/>
  <c r="G42" i="11"/>
  <c r="G23" i="11"/>
  <c r="G36" i="11"/>
  <c r="G24" i="11"/>
  <c r="G45" i="11"/>
  <c r="G39" i="11"/>
  <c r="G46" i="11"/>
  <c r="G19" i="11"/>
  <c r="G30" i="11"/>
  <c r="H30" i="11" s="1"/>
  <c r="G34" i="11"/>
  <c r="G22" i="11"/>
  <c r="G40" i="11"/>
  <c r="G35" i="11"/>
  <c r="G20" i="11"/>
  <c r="G21" i="11"/>
  <c r="G37" i="11"/>
  <c r="G25" i="11"/>
  <c r="G29" i="11"/>
  <c r="G43" i="11"/>
  <c r="G28" i="11"/>
  <c r="G31" i="11"/>
  <c r="G49" i="10" l="1"/>
  <c r="G41" i="11"/>
  <c r="G44" i="11"/>
  <c r="G26" i="11"/>
  <c r="G38" i="11"/>
  <c r="G47" i="11"/>
  <c r="J43" i="12"/>
  <c r="J35" i="12"/>
  <c r="J12" i="12"/>
  <c r="J22" i="12"/>
  <c r="J40" i="12"/>
  <c r="J25" i="12"/>
  <c r="J34" i="12"/>
  <c r="J29" i="12"/>
  <c r="J27" i="12"/>
  <c r="J15" i="12"/>
  <c r="J30" i="12"/>
  <c r="J28" i="12"/>
  <c r="J32" i="12"/>
  <c r="J31" i="12"/>
  <c r="J36" i="12"/>
  <c r="J13" i="12"/>
  <c r="J23" i="12"/>
  <c r="J42" i="12"/>
  <c r="J37" i="12"/>
  <c r="J24" i="12"/>
  <c r="J39" i="12"/>
  <c r="J41" i="12" s="1"/>
  <c r="J19" i="12"/>
  <c r="J44" i="12" l="1"/>
  <c r="G48" i="11"/>
  <c r="J26" i="12"/>
  <c r="J38" i="12"/>
  <c r="I14" i="13"/>
  <c r="J14" i="13" s="1"/>
  <c r="I12" i="13"/>
  <c r="J12" i="13" s="1"/>
  <c r="I11" i="13"/>
  <c r="I13" i="13"/>
  <c r="J13" i="13" s="1"/>
  <c r="I15" i="13"/>
  <c r="J10" i="12"/>
  <c r="I10" i="13"/>
  <c r="I33" i="13"/>
  <c r="J33" i="13" s="1"/>
  <c r="H13" i="11"/>
  <c r="H12" i="11"/>
  <c r="H14" i="11"/>
  <c r="I12" i="2" l="1"/>
  <c r="I16" i="13"/>
  <c r="J48" i="12"/>
  <c r="K33" i="12" s="1"/>
  <c r="L33" i="12" s="1"/>
  <c r="J16" i="12"/>
  <c r="J10" i="13"/>
  <c r="J11" i="2" s="1"/>
  <c r="J15" i="13"/>
  <c r="J11" i="13"/>
  <c r="I21" i="13"/>
  <c r="J21" i="13" s="1"/>
  <c r="I20" i="13"/>
  <c r="J20" i="13" s="1"/>
  <c r="I46" i="13"/>
  <c r="J46" i="13" s="1"/>
  <c r="J47" i="2" s="1"/>
  <c r="I45" i="13"/>
  <c r="I32" i="13"/>
  <c r="J32" i="13" s="1"/>
  <c r="I27" i="13"/>
  <c r="I29" i="13"/>
  <c r="J29" i="13" s="1"/>
  <c r="I34" i="13"/>
  <c r="J34" i="13" s="1"/>
  <c r="I24" i="13"/>
  <c r="J24" i="13" s="1"/>
  <c r="J25" i="2" s="1"/>
  <c r="I25" i="13"/>
  <c r="J25" i="13" s="1"/>
  <c r="J26" i="2" s="1"/>
  <c r="I40" i="13"/>
  <c r="J40" i="13" s="1"/>
  <c r="I19" i="13"/>
  <c r="I37" i="13"/>
  <c r="J37" i="13" s="1"/>
  <c r="J38" i="2" s="1"/>
  <c r="I36" i="13"/>
  <c r="J36" i="13" s="1"/>
  <c r="I35" i="13"/>
  <c r="J35" i="13" s="1"/>
  <c r="I31" i="13"/>
  <c r="J31" i="13" s="1"/>
  <c r="I23" i="13"/>
  <c r="J23" i="13" s="1"/>
  <c r="J24" i="2" s="1"/>
  <c r="I28" i="13"/>
  <c r="J28" i="13" s="1"/>
  <c r="J29" i="2" s="1"/>
  <c r="I39" i="13"/>
  <c r="I41" i="13" s="1"/>
  <c r="I30" i="13"/>
  <c r="J30" i="13" s="1"/>
  <c r="I43" i="13"/>
  <c r="J43" i="13" s="1"/>
  <c r="I22" i="13"/>
  <c r="J22" i="13" s="1"/>
  <c r="J23" i="2" s="1"/>
  <c r="I42" i="13"/>
  <c r="H10" i="11"/>
  <c r="I11" i="2" s="1"/>
  <c r="J33" i="2" l="1"/>
  <c r="J30" i="2"/>
  <c r="J12" i="2"/>
  <c r="I47" i="13"/>
  <c r="J50" i="12"/>
  <c r="K14" i="12"/>
  <c r="L14" i="12" s="1"/>
  <c r="J16" i="13"/>
  <c r="H16" i="11"/>
  <c r="I44" i="13"/>
  <c r="I38" i="13"/>
  <c r="I26" i="13"/>
  <c r="J39" i="13"/>
  <c r="J42" i="13"/>
  <c r="K11" i="12"/>
  <c r="L11" i="12" s="1"/>
  <c r="K12" i="12"/>
  <c r="L12" i="12" s="1"/>
  <c r="K13" i="12"/>
  <c r="L13" i="12" s="1"/>
  <c r="K15" i="12"/>
  <c r="L15" i="12" s="1"/>
  <c r="K21" i="12"/>
  <c r="L21" i="12" s="1"/>
  <c r="K19" i="12"/>
  <c r="K40" i="12"/>
  <c r="L40" i="12" s="1"/>
  <c r="K24" i="12"/>
  <c r="L24" i="12" s="1"/>
  <c r="K25" i="2" s="1"/>
  <c r="K42" i="12"/>
  <c r="K25" i="12"/>
  <c r="L25" i="12" s="1"/>
  <c r="K26" i="2" s="1"/>
  <c r="K36" i="12"/>
  <c r="L36" i="12" s="1"/>
  <c r="K29" i="12"/>
  <c r="L29" i="12" s="1"/>
  <c r="K23" i="12"/>
  <c r="L23" i="12" s="1"/>
  <c r="K24" i="2" s="1"/>
  <c r="K39" i="12"/>
  <c r="K37" i="12"/>
  <c r="L37" i="12" s="1"/>
  <c r="K38" i="2" s="1"/>
  <c r="K30" i="12"/>
  <c r="L30" i="12" s="1"/>
  <c r="K27" i="12"/>
  <c r="K34" i="12"/>
  <c r="L34" i="12" s="1"/>
  <c r="K32" i="12"/>
  <c r="L32" i="12" s="1"/>
  <c r="K35" i="12"/>
  <c r="L35" i="12" s="1"/>
  <c r="K45" i="12"/>
  <c r="K31" i="12"/>
  <c r="L31" i="12" s="1"/>
  <c r="K28" i="12"/>
  <c r="L28" i="12" s="1"/>
  <c r="K29" i="2" s="1"/>
  <c r="K20" i="12"/>
  <c r="L20" i="12" s="1"/>
  <c r="K22" i="12"/>
  <c r="L22" i="12" s="1"/>
  <c r="K23" i="2" s="1"/>
  <c r="K43" i="12"/>
  <c r="L43" i="12" s="1"/>
  <c r="K46" i="12"/>
  <c r="L46" i="12" s="1"/>
  <c r="K47" i="2" s="1"/>
  <c r="K10" i="12"/>
  <c r="J19" i="13"/>
  <c r="J27" i="13"/>
  <c r="J45" i="13"/>
  <c r="J46" i="2" s="1"/>
  <c r="H20" i="11"/>
  <c r="H21" i="11"/>
  <c r="H45" i="11"/>
  <c r="I46" i="2" s="1"/>
  <c r="H46" i="11"/>
  <c r="I47" i="2" s="1"/>
  <c r="H19" i="11"/>
  <c r="H23" i="11"/>
  <c r="I24" i="2" s="1"/>
  <c r="H22" i="11"/>
  <c r="I23" i="2" s="1"/>
  <c r="H40" i="11"/>
  <c r="H37" i="11"/>
  <c r="I38" i="2" s="1"/>
  <c r="H31" i="11"/>
  <c r="H28" i="11"/>
  <c r="I29" i="2" s="1"/>
  <c r="H29" i="11"/>
  <c r="H35" i="11"/>
  <c r="H24" i="11"/>
  <c r="I25" i="2" s="1"/>
  <c r="H25" i="11"/>
  <c r="I26" i="2" s="1"/>
  <c r="H39" i="11"/>
  <c r="H42" i="11"/>
  <c r="H43" i="11"/>
  <c r="H36" i="11"/>
  <c r="H32" i="11"/>
  <c r="H34" i="11"/>
  <c r="I33" i="2" l="1"/>
  <c r="K33" i="2"/>
  <c r="I40" i="2"/>
  <c r="J47" i="13"/>
  <c r="J20" i="2"/>
  <c r="K12" i="2"/>
  <c r="I43" i="2"/>
  <c r="K30" i="2"/>
  <c r="J41" i="13"/>
  <c r="J40" i="2"/>
  <c r="I20" i="2"/>
  <c r="I30" i="2"/>
  <c r="J38" i="13"/>
  <c r="J28" i="2"/>
  <c r="J44" i="13"/>
  <c r="J43" i="2"/>
  <c r="J17" i="2"/>
  <c r="I48" i="13"/>
  <c r="K16" i="12"/>
  <c r="H26" i="11"/>
  <c r="H47" i="11"/>
  <c r="H44" i="11"/>
  <c r="H41" i="11"/>
  <c r="L45" i="12"/>
  <c r="K46" i="2" s="1"/>
  <c r="K47" i="12"/>
  <c r="L42" i="12"/>
  <c r="K44" i="12"/>
  <c r="L39" i="12"/>
  <c r="K41" i="12"/>
  <c r="L27" i="12"/>
  <c r="K38" i="12"/>
  <c r="L19" i="12"/>
  <c r="K26" i="12"/>
  <c r="J26" i="13"/>
  <c r="L10" i="12"/>
  <c r="K11" i="2" s="1"/>
  <c r="H27" i="11"/>
  <c r="I17" i="2" l="1"/>
  <c r="K20" i="2"/>
  <c r="K40" i="2"/>
  <c r="L38" i="12"/>
  <c r="K28" i="2"/>
  <c r="K43" i="2"/>
  <c r="H38" i="11"/>
  <c r="H48" i="11" s="1"/>
  <c r="H50" i="11" s="1"/>
  <c r="I28" i="2"/>
  <c r="J48" i="13"/>
  <c r="J50" i="13" s="1"/>
  <c r="K48" i="12"/>
  <c r="L16" i="12"/>
  <c r="L26" i="12"/>
  <c r="L47" i="12"/>
  <c r="L44" i="12"/>
  <c r="L41" i="12"/>
  <c r="I42" i="2" l="1"/>
  <c r="I48" i="2"/>
  <c r="J39" i="2"/>
  <c r="J48" i="2"/>
  <c r="J27" i="2"/>
  <c r="J45" i="2"/>
  <c r="J42" i="2"/>
  <c r="I39" i="2"/>
  <c r="I27" i="2"/>
  <c r="I45" i="2"/>
  <c r="L48" i="12"/>
  <c r="L50" i="12" s="1"/>
  <c r="K17" i="2" l="1"/>
  <c r="J49" i="2"/>
  <c r="J51" i="2" s="1"/>
  <c r="K42" i="2"/>
  <c r="K45" i="2"/>
  <c r="K48" i="2"/>
  <c r="K27" i="2"/>
  <c r="K39" i="2"/>
  <c r="I49" i="2"/>
  <c r="I51" i="2" l="1"/>
  <c r="K49" i="2"/>
  <c r="K51" i="2" l="1"/>
  <c r="F46" i="15" l="1"/>
  <c r="F25" i="15"/>
  <c r="F21" i="15"/>
  <c r="F45" i="15"/>
  <c r="F19" i="15"/>
  <c r="F20" i="15"/>
  <c r="F23" i="15"/>
  <c r="F24" i="15"/>
  <c r="F22" i="15"/>
  <c r="F42" i="15"/>
  <c r="F43" i="15"/>
  <c r="F40" i="15"/>
  <c r="F39" i="15"/>
  <c r="F10" i="15"/>
  <c r="F12" i="15"/>
  <c r="F13" i="15"/>
  <c r="F11" i="15"/>
  <c r="F15" i="15"/>
  <c r="F14" i="15"/>
  <c r="F41" i="15" l="1"/>
  <c r="F47" i="15"/>
  <c r="F44" i="15"/>
  <c r="F26" i="15"/>
  <c r="F16" i="15"/>
  <c r="G24" i="15"/>
  <c r="H25" i="2" s="1"/>
  <c r="G20" i="15"/>
  <c r="G39" i="15"/>
  <c r="G19" i="15"/>
  <c r="G13" i="15"/>
  <c r="G23" i="15"/>
  <c r="H24" i="2" s="1"/>
  <c r="G40" i="15"/>
  <c r="G43" i="15"/>
  <c r="G15" i="15"/>
  <c r="G42" i="15"/>
  <c r="G25" i="15"/>
  <c r="H26" i="2" s="1"/>
  <c r="G12" i="15"/>
  <c r="G10" i="15"/>
  <c r="H11" i="2" s="1"/>
  <c r="G45" i="15"/>
  <c r="H46" i="2" s="1"/>
  <c r="G14" i="15"/>
  <c r="G21" i="15"/>
  <c r="G22" i="15"/>
  <c r="H23" i="2" s="1"/>
  <c r="G46" i="15"/>
  <c r="H47" i="2" s="1"/>
  <c r="G11" i="15"/>
  <c r="H43" i="2" l="1"/>
  <c r="F42" i="19" s="1"/>
  <c r="H40" i="2"/>
  <c r="F39" i="19" s="1"/>
  <c r="H12" i="2"/>
  <c r="H20" i="2"/>
  <c r="F25" i="19"/>
  <c r="F23" i="19"/>
  <c r="F24" i="19"/>
  <c r="G47" i="15"/>
  <c r="G44" i="15"/>
  <c r="G41" i="15"/>
  <c r="G26" i="15"/>
  <c r="G16" i="15"/>
  <c r="F10" i="19" l="1"/>
  <c r="F14" i="19"/>
  <c r="F13" i="19"/>
  <c r="F15" i="19"/>
  <c r="F11" i="19"/>
  <c r="F12" i="19"/>
  <c r="F46" i="19"/>
  <c r="F21" i="19"/>
  <c r="F20" i="19"/>
  <c r="F19" i="19"/>
  <c r="H17" i="2"/>
  <c r="F45" i="19"/>
  <c r="F22" i="19"/>
  <c r="J10" i="19" l="1"/>
  <c r="I10" i="19"/>
  <c r="G10" i="19"/>
  <c r="H45" i="2"/>
  <c r="H48" i="2"/>
  <c r="H27" i="2"/>
  <c r="G24" i="19" l="1"/>
  <c r="I24" i="19"/>
  <c r="J24" i="19"/>
  <c r="G13" i="19"/>
  <c r="J13" i="19"/>
  <c r="I13" i="19"/>
  <c r="G25" i="19"/>
  <c r="J25" i="19"/>
  <c r="I25" i="19"/>
  <c r="G12" i="19"/>
  <c r="J12" i="19"/>
  <c r="I12" i="19"/>
  <c r="G46" i="19"/>
  <c r="I46" i="19"/>
  <c r="J46" i="19"/>
  <c r="J42" i="19"/>
  <c r="I42" i="19"/>
  <c r="G11" i="19"/>
  <c r="I11" i="19"/>
  <c r="J11" i="19"/>
  <c r="G14" i="19"/>
  <c r="J14" i="19"/>
  <c r="I14" i="19"/>
  <c r="G23" i="19"/>
  <c r="J23" i="19"/>
  <c r="I23" i="19"/>
  <c r="J39" i="19"/>
  <c r="I39" i="19"/>
  <c r="G15" i="19"/>
  <c r="J15" i="19"/>
  <c r="I15" i="19"/>
  <c r="G39" i="19"/>
  <c r="F40" i="19"/>
  <c r="F43" i="19"/>
  <c r="G42" i="19"/>
  <c r="I16" i="19" l="1"/>
  <c r="G45" i="19"/>
  <c r="J45" i="19"/>
  <c r="I45" i="19"/>
  <c r="I47" i="19" s="1"/>
  <c r="J16" i="19"/>
  <c r="K10" i="19" s="1"/>
  <c r="L10" i="19" s="1"/>
  <c r="L11" i="2" s="1"/>
  <c r="G21" i="19"/>
  <c r="J21" i="19"/>
  <c r="I21" i="19"/>
  <c r="G19" i="19"/>
  <c r="J19" i="19"/>
  <c r="I19" i="19"/>
  <c r="G22" i="19"/>
  <c r="I22" i="19"/>
  <c r="J22" i="19"/>
  <c r="G43" i="19"/>
  <c r="I43" i="19"/>
  <c r="I44" i="19" s="1"/>
  <c r="J43" i="19"/>
  <c r="J44" i="19" s="1"/>
  <c r="G20" i="19"/>
  <c r="I20" i="19"/>
  <c r="J20" i="19"/>
  <c r="G40" i="19"/>
  <c r="I40" i="19"/>
  <c r="I41" i="19" s="1"/>
  <c r="J40" i="19"/>
  <c r="J41" i="19" s="1"/>
  <c r="K13" i="19" l="1"/>
  <c r="L13" i="19" s="1"/>
  <c r="I6" i="8"/>
  <c r="J6" i="8" s="1"/>
  <c r="K6" i="8" s="1"/>
  <c r="K15" i="19"/>
  <c r="L15" i="19" s="1"/>
  <c r="I26" i="19"/>
  <c r="J26" i="19"/>
  <c r="K12" i="19"/>
  <c r="L12" i="19" s="1"/>
  <c r="K11" i="19"/>
  <c r="J47" i="19"/>
  <c r="K14" i="19"/>
  <c r="L14" i="19" s="1"/>
  <c r="M11" i="2" l="1"/>
  <c r="O11" i="2" s="1"/>
  <c r="K16" i="19"/>
  <c r="L11" i="19"/>
  <c r="L12" i="2" s="1"/>
  <c r="I7" i="8" l="1"/>
  <c r="I8" i="8" s="1"/>
  <c r="P11" i="2"/>
  <c r="L17" i="2"/>
  <c r="L16" i="19"/>
  <c r="F33" i="15"/>
  <c r="J7" i="8" l="1"/>
  <c r="K7" i="8" s="1"/>
  <c r="I9" i="8"/>
  <c r="J8" i="8"/>
  <c r="K8" i="8" s="1"/>
  <c r="G33" i="15"/>
  <c r="F36" i="15"/>
  <c r="F30" i="15"/>
  <c r="F29" i="15"/>
  <c r="F31" i="15"/>
  <c r="F35" i="15"/>
  <c r="F32" i="15"/>
  <c r="F37" i="15"/>
  <c r="F27" i="15"/>
  <c r="F28" i="15"/>
  <c r="F34" i="15"/>
  <c r="I10" i="8" l="1"/>
  <c r="J9" i="8"/>
  <c r="K9" i="8" s="1"/>
  <c r="F38" i="15"/>
  <c r="F48" i="15" s="1"/>
  <c r="F50" i="15" s="1"/>
  <c r="G27" i="15"/>
  <c r="G32" i="15"/>
  <c r="G28" i="15"/>
  <c r="H29" i="2" s="1"/>
  <c r="G35" i="15"/>
  <c r="G29" i="15"/>
  <c r="G36" i="15"/>
  <c r="G37" i="15"/>
  <c r="H38" i="2" s="1"/>
  <c r="G31" i="15"/>
  <c r="G34" i="15"/>
  <c r="G30" i="15"/>
  <c r="I11" i="8" l="1"/>
  <c r="J11" i="8" s="1"/>
  <c r="K11" i="8" s="1"/>
  <c r="J10" i="8"/>
  <c r="K10" i="8" s="1"/>
  <c r="H33" i="2"/>
  <c r="H30" i="2"/>
  <c r="H28" i="2"/>
  <c r="F28" i="19"/>
  <c r="H42" i="2"/>
  <c r="G38" i="15"/>
  <c r="G48" i="15" s="1"/>
  <c r="G50" i="15" s="1"/>
  <c r="M12" i="2" l="1"/>
  <c r="O12" i="2" s="1"/>
  <c r="K12" i="8"/>
  <c r="F29" i="19"/>
  <c r="F30" i="19"/>
  <c r="F31" i="19"/>
  <c r="F32" i="19"/>
  <c r="J32" i="19" s="1"/>
  <c r="F37" i="19"/>
  <c r="F27" i="19"/>
  <c r="J27" i="19" s="1"/>
  <c r="F35" i="19"/>
  <c r="J35" i="19" s="1"/>
  <c r="I32" i="19" l="1"/>
  <c r="M17" i="2"/>
  <c r="O17" i="2"/>
  <c r="P12" i="2"/>
  <c r="P13" i="2" s="1"/>
  <c r="P14" i="2" s="1"/>
  <c r="P15" i="2" s="1"/>
  <c r="P16" i="2" s="1"/>
  <c r="F33" i="19"/>
  <c r="G33" i="19" s="1"/>
  <c r="G32" i="19"/>
  <c r="F34" i="19"/>
  <c r="G34" i="19" s="1"/>
  <c r="I27" i="19"/>
  <c r="I29" i="19"/>
  <c r="J29" i="19"/>
  <c r="G28" i="19"/>
  <c r="J28" i="19"/>
  <c r="I28" i="19"/>
  <c r="G27" i="19"/>
  <c r="G29" i="19"/>
  <c r="H39" i="2"/>
  <c r="I33" i="19" l="1"/>
  <c r="J33" i="19"/>
  <c r="I34" i="19"/>
  <c r="J34" i="19"/>
  <c r="F36" i="19"/>
  <c r="J36" i="19" s="1"/>
  <c r="G37" i="19"/>
  <c r="I37" i="19"/>
  <c r="J37" i="19"/>
  <c r="G31" i="19"/>
  <c r="I31" i="19"/>
  <c r="J31" i="19"/>
  <c r="G30" i="19"/>
  <c r="J30" i="19"/>
  <c r="I30" i="19"/>
  <c r="G35" i="19"/>
  <c r="I35" i="19"/>
  <c r="H49" i="2"/>
  <c r="G36" i="19" l="1"/>
  <c r="I36" i="19"/>
  <c r="I38" i="19" s="1"/>
  <c r="I48" i="19" s="1"/>
  <c r="I50" i="19" s="1"/>
  <c r="J38" i="19"/>
  <c r="J48" i="19" s="1"/>
  <c r="K31" i="19" s="1"/>
  <c r="H51" i="2"/>
  <c r="L31" i="19" l="1"/>
  <c r="K36" i="19"/>
  <c r="L36" i="19" s="1"/>
  <c r="K30" i="19"/>
  <c r="L30" i="19" s="1"/>
  <c r="K37" i="19"/>
  <c r="L37" i="19" s="1"/>
  <c r="L38" i="2" s="1"/>
  <c r="K35" i="19"/>
  <c r="L35" i="19" s="1"/>
  <c r="K46" i="19"/>
  <c r="L46" i="19" s="1"/>
  <c r="L47" i="2" s="1"/>
  <c r="K39" i="19"/>
  <c r="L39" i="19" s="1"/>
  <c r="K24" i="19"/>
  <c r="L24" i="19" s="1"/>
  <c r="L25" i="2" s="1"/>
  <c r="K25" i="19"/>
  <c r="L25" i="19" s="1"/>
  <c r="L26" i="2" s="1"/>
  <c r="K23" i="19"/>
  <c r="L23" i="19" s="1"/>
  <c r="L24" i="2" s="1"/>
  <c r="K42" i="19"/>
  <c r="L42" i="19" s="1"/>
  <c r="K20" i="19"/>
  <c r="L20" i="19" s="1"/>
  <c r="K40" i="19"/>
  <c r="L40" i="19" s="1"/>
  <c r="K22" i="19"/>
  <c r="L22" i="19" s="1"/>
  <c r="L23" i="2" s="1"/>
  <c r="K45" i="19"/>
  <c r="L45" i="19" s="1"/>
  <c r="L46" i="2" s="1"/>
  <c r="K19" i="19"/>
  <c r="L19" i="19" s="1"/>
  <c r="K43" i="19"/>
  <c r="L43" i="19" s="1"/>
  <c r="K21" i="19"/>
  <c r="L21" i="19" s="1"/>
  <c r="J50" i="19"/>
  <c r="K32" i="19"/>
  <c r="L32" i="19" s="1"/>
  <c r="K33" i="19"/>
  <c r="L33" i="19" s="1"/>
  <c r="K34" i="19"/>
  <c r="L34" i="19" s="1"/>
  <c r="K27" i="19"/>
  <c r="L27" i="19" s="1"/>
  <c r="K29" i="19"/>
  <c r="L29" i="19" s="1"/>
  <c r="K28" i="19"/>
  <c r="L28" i="19" s="1"/>
  <c r="L29" i="2" s="1"/>
  <c r="L33" i="2" l="1"/>
  <c r="I20" i="8"/>
  <c r="J20" i="8" s="1"/>
  <c r="K20" i="8" s="1"/>
  <c r="I41" i="8"/>
  <c r="J41" i="8" s="1"/>
  <c r="K41" i="8" s="1"/>
  <c r="I18" i="8"/>
  <c r="J18" i="8" s="1"/>
  <c r="K18" i="8" s="1"/>
  <c r="I19" i="8"/>
  <c r="J19" i="8" s="1"/>
  <c r="K19" i="8" s="1"/>
  <c r="I42" i="8"/>
  <c r="J42" i="8" s="1"/>
  <c r="K42" i="8" s="1"/>
  <c r="I33" i="8"/>
  <c r="J33" i="8" s="1"/>
  <c r="K33" i="8" s="1"/>
  <c r="I24" i="8"/>
  <c r="J24" i="8" s="1"/>
  <c r="K24" i="8" s="1"/>
  <c r="I21" i="8"/>
  <c r="J21" i="8" s="1"/>
  <c r="K21" i="8" s="1"/>
  <c r="L30" i="2"/>
  <c r="L20" i="2"/>
  <c r="L48" i="2"/>
  <c r="L43" i="2"/>
  <c r="L40" i="2"/>
  <c r="L28" i="2"/>
  <c r="K47" i="19"/>
  <c r="L47" i="19"/>
  <c r="K41" i="19"/>
  <c r="L41" i="19"/>
  <c r="L44" i="19"/>
  <c r="K44" i="19"/>
  <c r="K26" i="19"/>
  <c r="L38" i="19"/>
  <c r="K38" i="19"/>
  <c r="M29" i="2" l="1"/>
  <c r="O29" i="2" s="1"/>
  <c r="P29" i="2" s="1"/>
  <c r="M23" i="2"/>
  <c r="O23" i="2" s="1"/>
  <c r="P23" i="2" s="1"/>
  <c r="M46" i="2"/>
  <c r="O46" i="2" s="1"/>
  <c r="M47" i="2"/>
  <c r="O47" i="2" s="1"/>
  <c r="P47" i="2" s="1"/>
  <c r="M25" i="2"/>
  <c r="O25" i="2" s="1"/>
  <c r="P25" i="2" s="1"/>
  <c r="I23" i="10" s="1"/>
  <c r="K23" i="10" s="1"/>
  <c r="M26" i="2"/>
  <c r="O26" i="2" s="1"/>
  <c r="P26" i="2" s="1"/>
  <c r="M24" i="2"/>
  <c r="O24" i="2" s="1"/>
  <c r="P24" i="2" s="1"/>
  <c r="I15" i="8"/>
  <c r="I17" i="8" s="1"/>
  <c r="J17" i="8" s="1"/>
  <c r="K17" i="8" s="1"/>
  <c r="I28" i="8"/>
  <c r="I35" i="8"/>
  <c r="I36" i="8" s="1"/>
  <c r="J36" i="8" s="1"/>
  <c r="K36" i="8" s="1"/>
  <c r="I38" i="8"/>
  <c r="I39" i="8" s="1"/>
  <c r="J39" i="8" s="1"/>
  <c r="K39" i="8" s="1"/>
  <c r="I23" i="8"/>
  <c r="M38" i="2"/>
  <c r="I25" i="8"/>
  <c r="L45" i="2"/>
  <c r="L42" i="2"/>
  <c r="L27" i="2"/>
  <c r="L39" i="2"/>
  <c r="L26" i="19"/>
  <c r="L48" i="19" s="1"/>
  <c r="K48" i="19"/>
  <c r="I22" i="10" l="1"/>
  <c r="K22" i="10" s="1"/>
  <c r="J15" i="8"/>
  <c r="K15" i="8" s="1"/>
  <c r="M48" i="2"/>
  <c r="J35" i="8"/>
  <c r="K35" i="8" s="1"/>
  <c r="M40" i="2" s="1"/>
  <c r="O40" i="2" s="1"/>
  <c r="I45" i="10"/>
  <c r="K45" i="10" s="1"/>
  <c r="J38" i="8"/>
  <c r="K38" i="8" s="1"/>
  <c r="I21" i="10"/>
  <c r="K21" i="10" s="1"/>
  <c r="I16" i="8"/>
  <c r="J16" i="8" s="1"/>
  <c r="K16" i="8" s="1"/>
  <c r="I24" i="10"/>
  <c r="K24" i="10" s="1"/>
  <c r="I27" i="10"/>
  <c r="K27" i="10" s="1"/>
  <c r="I30" i="8"/>
  <c r="J30" i="8" s="1"/>
  <c r="K30" i="8" s="1"/>
  <c r="J28" i="8"/>
  <c r="K28" i="8" s="1"/>
  <c r="I32" i="8"/>
  <c r="J32" i="8" s="1"/>
  <c r="K32" i="8" s="1"/>
  <c r="O38" i="2"/>
  <c r="P38" i="2" s="1"/>
  <c r="I36" i="10" s="1"/>
  <c r="K36" i="10" s="1"/>
  <c r="I29" i="8"/>
  <c r="J29" i="8" s="1"/>
  <c r="K29" i="8" s="1"/>
  <c r="I27" i="8"/>
  <c r="J27" i="8" s="1"/>
  <c r="K27" i="8" s="1"/>
  <c r="I26" i="8"/>
  <c r="J26" i="8" s="1"/>
  <c r="K26" i="8" s="1"/>
  <c r="J25" i="8"/>
  <c r="K25" i="8" s="1"/>
  <c r="P46" i="2"/>
  <c r="O48" i="2"/>
  <c r="I31" i="8"/>
  <c r="J31" i="8" s="1"/>
  <c r="K31" i="8" s="1"/>
  <c r="J23" i="8"/>
  <c r="K23" i="8" s="1"/>
  <c r="L49" i="2"/>
  <c r="L51" i="2" s="1"/>
  <c r="L50" i="19"/>
  <c r="I11" i="10"/>
  <c r="K11" i="10" s="1"/>
  <c r="I13" i="10"/>
  <c r="K13" i="10" s="1"/>
  <c r="P17" i="2"/>
  <c r="I14" i="10"/>
  <c r="K22" i="8" l="1"/>
  <c r="M20" i="2"/>
  <c r="O20" i="2" s="1"/>
  <c r="M28" i="2"/>
  <c r="O28" i="2" s="1"/>
  <c r="P28" i="2" s="1"/>
  <c r="M43" i="2"/>
  <c r="O43" i="2" s="1"/>
  <c r="M33" i="2"/>
  <c r="M30" i="2"/>
  <c r="P48" i="2"/>
  <c r="I46" i="10" s="1"/>
  <c r="K46" i="10" s="1"/>
  <c r="I44" i="10"/>
  <c r="K44" i="10" s="1"/>
  <c r="K34" i="8"/>
  <c r="M42" i="2"/>
  <c r="I12" i="10"/>
  <c r="I10" i="10"/>
  <c r="K14" i="10"/>
  <c r="M45" i="2" l="1"/>
  <c r="M27" i="2"/>
  <c r="O33" i="2"/>
  <c r="P33" i="2" s="1"/>
  <c r="O30" i="2"/>
  <c r="P30" i="2" s="1"/>
  <c r="O42" i="2"/>
  <c r="P40" i="2"/>
  <c r="P20" i="2"/>
  <c r="O27" i="2"/>
  <c r="K37" i="8"/>
  <c r="M39" i="2"/>
  <c r="O45" i="2"/>
  <c r="P43" i="2"/>
  <c r="K12" i="10"/>
  <c r="K10" i="10"/>
  <c r="I9" i="10"/>
  <c r="P31" i="2" l="1"/>
  <c r="I28" i="10"/>
  <c r="K28" i="10" s="1"/>
  <c r="P32" i="2"/>
  <c r="P35" i="2"/>
  <c r="P37" i="2"/>
  <c r="P34" i="2"/>
  <c r="I31" i="10"/>
  <c r="K31" i="10" s="1"/>
  <c r="K40" i="8"/>
  <c r="K43" i="8" s="1"/>
  <c r="P44" i="2"/>
  <c r="P45" i="2" s="1"/>
  <c r="I43" i="10" s="1"/>
  <c r="K43" i="10" s="1"/>
  <c r="I41" i="10"/>
  <c r="K41" i="10" s="1"/>
  <c r="O39" i="2"/>
  <c r="O49" i="2" s="1"/>
  <c r="O51" i="2" s="1"/>
  <c r="P22" i="2"/>
  <c r="P21" i="2"/>
  <c r="I18" i="10"/>
  <c r="K18" i="10" s="1"/>
  <c r="M49" i="2"/>
  <c r="M51" i="2" s="1"/>
  <c r="P41" i="2"/>
  <c r="P42" i="2" s="1"/>
  <c r="I40" i="10" s="1"/>
  <c r="K40" i="10" s="1"/>
  <c r="I38" i="10"/>
  <c r="K38" i="10" s="1"/>
  <c r="K9" i="10"/>
  <c r="I15" i="10"/>
  <c r="I33" i="10" l="1"/>
  <c r="K33" i="10" s="1"/>
  <c r="I29" i="10"/>
  <c r="K29" i="10" s="1"/>
  <c r="I32" i="10"/>
  <c r="K32" i="10" s="1"/>
  <c r="I35" i="10"/>
  <c r="K35" i="10" s="1"/>
  <c r="I30" i="10"/>
  <c r="K30" i="10" s="1"/>
  <c r="K44" i="8"/>
  <c r="K46" i="8" s="1"/>
  <c r="I19" i="10"/>
  <c r="K19" i="10" s="1"/>
  <c r="I39" i="10"/>
  <c r="K39" i="10" s="1"/>
  <c r="P27" i="2"/>
  <c r="I25" i="10" s="1"/>
  <c r="K25" i="10" s="1"/>
  <c r="I20" i="10"/>
  <c r="K20" i="10" s="1"/>
  <c r="P36" i="2"/>
  <c r="P39" i="2" s="1"/>
  <c r="I26" i="10"/>
  <c r="K26" i="10" s="1"/>
  <c r="I42" i="10"/>
  <c r="K42" i="10" s="1"/>
  <c r="K15" i="10"/>
  <c r="I34" i="10" l="1"/>
  <c r="K34" i="10" s="1"/>
  <c r="P49" i="2"/>
  <c r="I37" i="10"/>
  <c r="K37" i="10" s="1"/>
  <c r="P51" i="2" l="1"/>
  <c r="I49" i="10" s="1"/>
  <c r="K49" i="10" s="1"/>
  <c r="I47" i="10"/>
  <c r="K47" i="10" s="1"/>
</calcChain>
</file>

<file path=xl/sharedStrings.xml><?xml version="1.0" encoding="utf-8"?>
<sst xmlns="http://schemas.openxmlformats.org/spreadsheetml/2006/main" count="461" uniqueCount="211">
  <si>
    <t>Magazines</t>
  </si>
  <si>
    <t>TOTAL</t>
  </si>
  <si>
    <t>Aluminium</t>
  </si>
  <si>
    <t>Total</t>
  </si>
  <si>
    <t>Tous</t>
  </si>
  <si>
    <t>POIDS DES FACTEURS</t>
  </si>
  <si>
    <t>% variation</t>
  </si>
  <si>
    <t>http://www.ecoentreprises.qc.ca/documents/pdf/caracterisation_2012-2013_rapport_synthese_fr_final.pdf</t>
  </si>
  <si>
    <t>2012-2013</t>
  </si>
  <si>
    <t>Variation</t>
  </si>
  <si>
    <t>Fee</t>
  </si>
  <si>
    <t>Executive Summary</t>
  </si>
  <si>
    <t>Schedule</t>
  </si>
  <si>
    <t>Scenario</t>
  </si>
  <si>
    <t>Reference Year</t>
  </si>
  <si>
    <t>Schedule year and scenario</t>
  </si>
  <si>
    <t>Parameters</t>
  </si>
  <si>
    <t>Key variables</t>
  </si>
  <si>
    <t xml:space="preserve">Schedule </t>
  </si>
  <si>
    <t>Reported quantity
(t)</t>
  </si>
  <si>
    <t>Generated quantity (t)</t>
  </si>
  <si>
    <t>Recovered quantity (t)</t>
  </si>
  <si>
    <t>Eliminated quantity (t)</t>
  </si>
  <si>
    <t>Recovery rate</t>
  </si>
  <si>
    <t>Net cost / tonne
(ABC)
($/tonne)</t>
  </si>
  <si>
    <t>2015 Schedule
($/tonne)</t>
  </si>
  <si>
    <t>2014 Schedule
($/tonne)</t>
  </si>
  <si>
    <t>PRINTED MATTER</t>
  </si>
  <si>
    <t>Printed matter</t>
  </si>
  <si>
    <t>Newsprint inserts and circulars</t>
  </si>
  <si>
    <t>Catalogues and publications</t>
  </si>
  <si>
    <t>Telephone books</t>
  </si>
  <si>
    <t>Paper for general use</t>
  </si>
  <si>
    <t>Other printed matter</t>
  </si>
  <si>
    <t>CONTAINERS AND PACKAGING</t>
  </si>
  <si>
    <t>Paperboard</t>
  </si>
  <si>
    <t>Corrugated cardboard</t>
  </si>
  <si>
    <t>Kraft paper shopping bags</t>
  </si>
  <si>
    <t>Kraft paper packaging</t>
  </si>
  <si>
    <t>Boxboard / Other paper packaging</t>
  </si>
  <si>
    <t>Gable-top containers</t>
  </si>
  <si>
    <t>Paper laminants</t>
  </si>
  <si>
    <t>Aseptic containers</t>
  </si>
  <si>
    <t>Plastic</t>
  </si>
  <si>
    <t>PET bottles</t>
  </si>
  <si>
    <t>HDPE bottles</t>
  </si>
  <si>
    <t>Plastic laminants</t>
  </si>
  <si>
    <t>HDPE and LDPE plastic film</t>
  </si>
  <si>
    <t>HDPE and LDPE plastic shopping bags</t>
  </si>
  <si>
    <t>Expanded polystyrene food</t>
  </si>
  <si>
    <t>Expanded polystyrene protection</t>
  </si>
  <si>
    <t>Non-expanded polystyrene</t>
  </si>
  <si>
    <t>PET containers</t>
  </si>
  <si>
    <t>Polylactic acid (PLA) and other degradable plastics</t>
  </si>
  <si>
    <t>Other plastics, polymers and polyurethane</t>
  </si>
  <si>
    <t>Aluminium containers for food and beverages</t>
  </si>
  <si>
    <t>Other aluminium containers and packaging</t>
  </si>
  <si>
    <t>Steel</t>
  </si>
  <si>
    <t>Steel aerosol containers</t>
  </si>
  <si>
    <t>Other steel containers</t>
  </si>
  <si>
    <t>Glass</t>
  </si>
  <si>
    <t>Clear glass</t>
  </si>
  <si>
    <t>Coloured glass</t>
  </si>
  <si>
    <t>CLASS</t>
  </si>
  <si>
    <t>Material</t>
  </si>
  <si>
    <t>TOTAL - PRINTED MATTER</t>
  </si>
  <si>
    <t>TOTAL - Paperboard</t>
  </si>
  <si>
    <t>TOTAL - Plastic</t>
  </si>
  <si>
    <t>TOTAL - Aluminium</t>
  </si>
  <si>
    <t>TOTAL - Steel</t>
  </si>
  <si>
    <t>TOTAL - Glass</t>
  </si>
  <si>
    <t>TOTAL - CONTAINERS AND PACKAGING</t>
  </si>
  <si>
    <t>Net costs &amp; industry share</t>
  </si>
  <si>
    <t>Estimated 2014 net costs</t>
  </si>
  <si>
    <t>% deduction other materials</t>
  </si>
  <si>
    <t>% deduction P&amp;E</t>
  </si>
  <si>
    <t>Flat amount - Municipalities (%)</t>
  </si>
  <si>
    <t>Industry share (%)</t>
  </si>
  <si>
    <t>ÉEQ share (%)</t>
  </si>
  <si>
    <t>RecycleMédias maximum compensation</t>
  </si>
  <si>
    <t>Allowance - RECYC-QUÉBEC (%)</t>
  </si>
  <si>
    <t>Administrative fees - ÉEQ</t>
  </si>
  <si>
    <t>Cost of studies and projects - ÉEQ</t>
  </si>
  <si>
    <t>% Reserve for bad debt</t>
  </si>
  <si>
    <t>Flat fee contributions</t>
  </si>
  <si>
    <t>Factors</t>
  </si>
  <si>
    <t>Weighting: Factor 1 "Recovery rate per material"</t>
  </si>
  <si>
    <t>Weighting: Factor 2 "Net cost per material"</t>
  </si>
  <si>
    <t>Weighting: Factor 3 "Equalization"</t>
  </si>
  <si>
    <t>Recovery objective (Factor 3)</t>
  </si>
  <si>
    <t>Distribution of net costs per class</t>
  </si>
  <si>
    <t xml:space="preserve">Printed matter </t>
  </si>
  <si>
    <t>Containers and packaging</t>
  </si>
  <si>
    <t>Credit for recycled content</t>
  </si>
  <si>
    <t>Tonnage receiving the credit (%)</t>
  </si>
  <si>
    <t>Credit for recycled content (%)</t>
  </si>
  <si>
    <t>Risk fund</t>
  </si>
  <si>
    <t>Actual Risk fund amount</t>
  </si>
  <si>
    <t>Risk fund target (% of net costs)</t>
  </si>
  <si>
    <t>Risk fund withdrawal</t>
  </si>
  <si>
    <t>All materials</t>
  </si>
  <si>
    <t>Fees hike cap</t>
  </si>
  <si>
    <t>Quebec 2013 ABC</t>
  </si>
  <si>
    <t>Gross cost
($/tonne)</t>
  </si>
  <si>
    <t>Gross revenue
($/tonne)</t>
  </si>
  <si>
    <t>Cost of specific studies ($)</t>
  </si>
  <si>
    <t>Risk and stability fund</t>
  </si>
  <si>
    <t>2014 Schedule Reporting with 2015 adjustements</t>
  </si>
  <si>
    <t>Reported data</t>
  </si>
  <si>
    <t>Quantity reported
(kg)</t>
  </si>
  <si>
    <r>
      <rPr>
        <vertAlign val="superscript"/>
        <sz val="11"/>
        <color theme="1"/>
        <rFont val="Arial"/>
        <family val="2"/>
      </rPr>
      <t>1</t>
    </r>
    <r>
      <rPr>
        <sz val="11"/>
        <color theme="1"/>
        <rFont val="Arial"/>
        <family val="2"/>
      </rPr>
      <t xml:space="preserve">The number of Company Reports represents the number of companies who reported a particular material. As each company may report more than one material, the number of Company Reports is greater than the number of contributing companies. </t>
    </r>
  </si>
  <si>
    <t>2012-2013 Characterization of Residual Materials in Quebec’s Residential Sector</t>
  </si>
  <si>
    <t>Net costs, RECYC-QUÉBEC allowance, administrative expenses, bad debt and risk fund (Total costs)</t>
  </si>
  <si>
    <t>Net costs</t>
  </si>
  <si>
    <t>Net costs after other materials deduction</t>
  </si>
  <si>
    <t>% deduction E&amp;E</t>
  </si>
  <si>
    <t>Estimated net costs</t>
  </si>
  <si>
    <t>Late municipal reporting</t>
  </si>
  <si>
    <t>Total net costs</t>
  </si>
  <si>
    <t>Net costs paid by industry</t>
  </si>
  <si>
    <t>Penality</t>
  </si>
  <si>
    <t>Net costs paid by ÉEQ</t>
  </si>
  <si>
    <t>RQ allowance, Administrative expenses, bad debt and risk fund</t>
  </si>
  <si>
    <t>RECYC-QUÉBEC allowance paid by ÉEQ</t>
  </si>
  <si>
    <t>RECYC-QUÉBEC allowance</t>
  </si>
  <si>
    <t>Total - RECYC-QUÉBEC allowance paid by ÉEQ</t>
  </si>
  <si>
    <t>Working capital</t>
  </si>
  <si>
    <t>Total - Working capital</t>
  </si>
  <si>
    <t>Total fees</t>
  </si>
  <si>
    <t>Bad debt and risk fund</t>
  </si>
  <si>
    <t>Reserve for bad debt (%)</t>
  </si>
  <si>
    <t>Reserve for bad debt</t>
  </si>
  <si>
    <t>Costs distributed according to the 3-factor formula (per class)</t>
  </si>
  <si>
    <t>Class</t>
  </si>
  <si>
    <t>Proportion of 
net costs
(%)</t>
  </si>
  <si>
    <t>Relative proportion of class
(%)</t>
  </si>
  <si>
    <t>Net Costs
($)</t>
  </si>
  <si>
    <t>Risk fund withdrawal
($)</t>
  </si>
  <si>
    <t>Total net costs (including bad debt and risk fund)
($)</t>
  </si>
  <si>
    <t>Total net costs
($)</t>
  </si>
  <si>
    <t>Total (paid by ÉEQ)</t>
  </si>
  <si>
    <t>Sub-class</t>
  </si>
  <si>
    <t>Order</t>
  </si>
  <si>
    <t>Nb reportings</t>
  </si>
  <si>
    <t>Reported quantity net (kg)</t>
  </si>
  <si>
    <t>Reported quantity (tonnes)</t>
  </si>
  <si>
    <t>Generated quantity  
(tonnes)</t>
  </si>
  <si>
    <t>Recovered quantity  (tonnes)</t>
  </si>
  <si>
    <t xml:space="preserve">Eliminated quantity </t>
  </si>
  <si>
    <t>% recovery</t>
  </si>
  <si>
    <t>Gross cost</t>
  </si>
  <si>
    <t>Gross revenue</t>
  </si>
  <si>
    <t>Net cost</t>
  </si>
  <si>
    <t>Specific study</t>
  </si>
  <si>
    <t>Previous reported quantity</t>
  </si>
  <si>
    <t>Previous fee</t>
  </si>
  <si>
    <t>Factor 1</t>
  </si>
  <si>
    <t>WEIGHTING - FACTOR 1:</t>
  </si>
  <si>
    <t>Proportion per class
(%)</t>
  </si>
  <si>
    <t>Cost - Factor 1
($)</t>
  </si>
  <si>
    <t>Distribution of the cost of the factor per class</t>
  </si>
  <si>
    <t>Factor 2</t>
  </si>
  <si>
    <t>WEIGHTING - FACTOR 2:</t>
  </si>
  <si>
    <t>Gross cost
(ABC)
($/tonne)</t>
  </si>
  <si>
    <t>Gross revenu
(ABC)
($/tonne)</t>
  </si>
  <si>
    <t>Net cost
($/tonne)</t>
  </si>
  <si>
    <t>Total net cost
($)</t>
  </si>
  <si>
    <t>Cost - Factor 2
($)</t>
  </si>
  <si>
    <t>Factor 3</t>
  </si>
  <si>
    <t xml:space="preserve">Recovery objective
(tonnes) </t>
  </si>
  <si>
    <t>Tonnage shortfall
(tonnes)</t>
  </si>
  <si>
    <t>Net cost / tonne
($/tonne)</t>
  </si>
  <si>
    <t>Net cost to meet objective
($)</t>
  </si>
  <si>
    <t>Cost - Factor 3
($)</t>
  </si>
  <si>
    <t>WEIGHTING - FACTOR 3:</t>
  </si>
  <si>
    <t>RECYC-QUÉBEC allowance and admin. Expenses</t>
  </si>
  <si>
    <t>Quantity reported
(Eco-D reporting)
(tonnes)</t>
  </si>
  <si>
    <t>Number of reports 
(Eco-D reporting)</t>
  </si>
  <si>
    <t>RQ allowance_
Admin. expenses
($)</t>
  </si>
  <si>
    <t>Total RQ allowance_
Admin expenses
($)</t>
  </si>
  <si>
    <t>Reported quantity</t>
  </si>
  <si>
    <t>Fee before recycled content credit</t>
  </si>
  <si>
    <t>Maximum fee</t>
  </si>
  <si>
    <t>$ over max fee</t>
  </si>
  <si>
    <t>$ below max fee</t>
  </si>
  <si>
    <t>% below max fee</t>
  </si>
  <si>
    <t>$ redistributed</t>
  </si>
  <si>
    <t>Recycled content credit</t>
  </si>
  <si>
    <t>Application of the credit</t>
  </si>
  <si>
    <t>Tonnage qualifying for the credit</t>
  </si>
  <si>
    <t>Anticipated</t>
  </si>
  <si>
    <t>Real</t>
  </si>
  <si>
    <t>For calculation</t>
  </si>
  <si>
    <t>Fee before credit</t>
  </si>
  <si>
    <t>Fee after credit</t>
  </si>
  <si>
    <t>Credit provision</t>
  </si>
  <si>
    <t>Yes</t>
  </si>
  <si>
    <t>No</t>
  </si>
  <si>
    <r>
      <rPr>
        <b/>
        <vertAlign val="superscript"/>
        <sz val="11"/>
        <color theme="1"/>
        <rFont val="Arial"/>
        <family val="2"/>
      </rPr>
      <t>1</t>
    </r>
    <r>
      <rPr>
        <sz val="11"/>
        <color theme="1"/>
        <rFont val="Arial"/>
        <family val="2"/>
      </rPr>
      <t>A credit will also be granted to certain paper, cardboard and plastic containers and packaging. However, for this Schedule of Contributions, the credit is not considered in Schedule calculations as amounts will be drawn from a separate fund.</t>
    </r>
  </si>
  <si>
    <t>FEES</t>
  </si>
  <si>
    <t>Quantities</t>
  </si>
  <si>
    <t>Total - Factor 1
($)</t>
  </si>
  <si>
    <t>Total - Factor 2
($)</t>
  </si>
  <si>
    <t>Total - Factor 3
($)</t>
  </si>
  <si>
    <t>Fees hike cap adjustment ($)</t>
  </si>
  <si>
    <t>Total cost
($)</t>
  </si>
  <si>
    <t>Costs</t>
  </si>
  <si>
    <t>* included with PET Bottles</t>
  </si>
  <si>
    <t>* included with polystyrene</t>
  </si>
  <si>
    <r>
      <t>Number of company reports</t>
    </r>
    <r>
      <rPr>
        <b/>
        <vertAlign val="superscript"/>
        <sz val="11"/>
        <color theme="1"/>
        <rFont val="Arial"/>
        <family val="2"/>
      </rPr>
      <t>1</t>
    </r>
  </si>
  <si>
    <t>Final July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</si>
</sst>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0\ &quot;$&quot;_);\(#,##0\ &quot;$&quot;\)"/>
    <numFmt numFmtId="7" formatCode="#,##0.00\ &quot;$&quot;_);\(#,##0.00\ &quot;$&quot;\)"/>
    <numFmt numFmtId="44" formatCode="_ * #,##0.00_)\ &quot;$&quot;_ ;_ * \(#,##0.00\)\ &quot;$&quot;_ ;_ * &quot;-&quot;??_)\ &quot;$&quot;_ ;_ @_ "/>
    <numFmt numFmtId="43" formatCode="_ * #,##0.00_)\ _$_ ;_ * \(#,##0.00\)\ _$_ ;_ * &quot;-&quot;??_)\ _$_ ;_ @_ "/>
    <numFmt numFmtId="164" formatCode="_-&quot;$&quot;* #,##0.00_-;\-&quot;$&quot;* #,##0.00_-;_-&quot;$&quot;* &quot;-&quot;??_-;_-@_-"/>
    <numFmt numFmtId="165" formatCode="_-* #,##0.00_-;\-* #,##0.00_-;_-* &quot;-&quot;??_-;_-@_-"/>
    <numFmt numFmtId="166" formatCode="_ * #,##0.00_ \ [$$-C0C]_ ;_ * \-#,##0.00\ \ [$$-C0C]_ ;_ * &quot;-&quot;??_ \ [$$-C0C]_ ;_ @_ "/>
    <numFmt numFmtId="167" formatCode="0.0%"/>
    <numFmt numFmtId="168" formatCode="_-* #,##0_-;\-* #,##0_-;_-* &quot;-&quot;??_-;_-@_-"/>
    <numFmt numFmtId="169" formatCode="#,##0.00\ [$$-C0C]"/>
    <numFmt numFmtId="170" formatCode="#,##0.00\ &quot;$&quot;&quot;/t&quot;"/>
    <numFmt numFmtId="171" formatCode="#,##0.00\ &quot;$&quot;"/>
    <numFmt numFmtId="172" formatCode="_ * #,##0.00_)\ [$€-1]_ ;_ * \(#,##0.00\)\ [$€-1]_ ;_ * &quot;-&quot;??_)\ [$€-1]_ "/>
    <numFmt numFmtId="173" formatCode="_(* #,##0.00_);_(* \(#,##0.00\);_(* &quot;-&quot;??_);_(@_)"/>
    <numFmt numFmtId="174" formatCode="#,##0_);[Red]\(#,##0\);\-_)"/>
    <numFmt numFmtId="175" formatCode="#,##0_ ;[Red]\-#,##0\ "/>
    <numFmt numFmtId="176" formatCode="0.0000%"/>
    <numFmt numFmtId="177" formatCode="m/d/yy\ h:mm:ss"/>
    <numFmt numFmtId="178" formatCode="_ * #,##0.00_)\ [$$-C0C]_ ;_ * \(#,##0.00\)\ [$$-C0C]_ ;_ * &quot;-&quot;??_)\ [$$-C0C]_ ;_ @_ "/>
    <numFmt numFmtId="179" formatCode="_ * #,##0_ \ [$$-C0C]_ ;_ * \-#,##0\ \ [$$-C0C]_ ;_ * &quot;-&quot;??_ \ [$$-C0C]_ ;_ @_ "/>
    <numFmt numFmtId="180" formatCode="_ * #,##0_)\ [$$-C0C]_ ;_ * \(#,##0\)\ [$$-C0C]_ ;_ * &quot;-&quot;??_)\ [$$-C0C]_ ;_ @_ "/>
    <numFmt numFmtId="181" formatCode="_-&quot;$&quot;* #,##0_-;\-&quot;$&quot;* #,##0_-;_-&quot;$&quot;* &quot;-&quot;??_-;_-@_-"/>
    <numFmt numFmtId="182" formatCode="#,##0\ [$$-C0C]"/>
    <numFmt numFmtId="183" formatCode="0.0"/>
    <numFmt numFmtId="184" formatCode="_ * #,##0_)\ &quot;$&quot;_ ;_ * \(#,##0\)\ &quot;$&quot;_ ;_ * &quot;-&quot;??_)\ &quot;$&quot;_ ;_ @_ "/>
    <numFmt numFmtId="185" formatCode="#,##0\ [$$-C0C]_);\(#,##0\ [$$-C0C]\)"/>
    <numFmt numFmtId="186" formatCode="#,##0\ &quot;$&quot;"/>
  </numFmts>
  <fonts count="80">
    <font>
      <sz val="11"/>
      <color theme="1"/>
      <name val="Calibri"/>
      <family val="2"/>
      <scheme val="minor"/>
    </font>
    <font>
      <sz val="11"/>
      <color theme="1"/>
      <name val="Calibri"/>
      <family val="2"/>
      <scheme val="minor"/>
    </font>
    <font>
      <sz val="10"/>
      <name val="Arial"/>
      <family val="2"/>
    </font>
    <font>
      <sz val="11"/>
      <color theme="1"/>
      <name val="Arial"/>
      <family val="2"/>
    </font>
    <font>
      <b/>
      <sz val="11"/>
      <color theme="1"/>
      <name val="Arial"/>
      <family val="2"/>
    </font>
    <font>
      <sz val="11"/>
      <color rgb="FF0070C0"/>
      <name val="Arial"/>
      <family val="2"/>
    </font>
    <font>
      <sz val="11"/>
      <name val="Arial"/>
      <family val="2"/>
    </font>
    <font>
      <b/>
      <sz val="11"/>
      <name val="Arial"/>
      <family val="2"/>
    </font>
    <font>
      <sz val="11"/>
      <name val="Calibri"/>
      <family val="2"/>
      <scheme val="minor"/>
    </font>
    <font>
      <b/>
      <sz val="12"/>
      <name val="Arial"/>
      <family val="2"/>
    </font>
    <font>
      <sz val="11"/>
      <color indexed="8"/>
      <name val="Arial"/>
      <family val="2"/>
    </font>
    <font>
      <sz val="11"/>
      <color indexed="8"/>
      <name val="Calibri"/>
      <family val="2"/>
    </font>
    <font>
      <b/>
      <sz val="11"/>
      <color indexed="8"/>
      <name val="Arial"/>
      <family val="2"/>
    </font>
    <font>
      <u/>
      <sz val="11"/>
      <color indexed="12"/>
      <name val="Calibri"/>
      <family val="2"/>
    </font>
    <font>
      <sz val="11"/>
      <color theme="0"/>
      <name val="Arial"/>
      <family val="2"/>
    </font>
    <font>
      <b/>
      <sz val="14"/>
      <color theme="1"/>
      <name val="Arial"/>
      <family val="2"/>
    </font>
    <font>
      <sz val="14"/>
      <name val="Arial"/>
      <family val="2"/>
    </font>
    <font>
      <b/>
      <sz val="11"/>
      <color rgb="FF0070C0"/>
      <name val="Arial"/>
      <family val="2"/>
    </font>
    <font>
      <b/>
      <sz val="10"/>
      <name val="Arial"/>
      <family val="2"/>
    </font>
    <font>
      <u/>
      <sz val="10"/>
      <color indexed="12"/>
      <name val="Arial"/>
      <family val="2"/>
    </font>
    <font>
      <u/>
      <sz val="11"/>
      <color rgb="FF0000F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sz val="10"/>
      <color indexed="5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sz val="10"/>
      <color indexed="8"/>
      <name val="Arial"/>
      <family val="2"/>
    </font>
    <font>
      <sz val="11"/>
      <color indexed="9"/>
      <name val="Arial"/>
      <family val="2"/>
    </font>
    <font>
      <sz val="10"/>
      <color indexed="9"/>
      <name val="Arial"/>
      <family val="2"/>
    </font>
    <font>
      <sz val="11"/>
      <color indexed="20"/>
      <name val="Arial"/>
      <family val="2"/>
    </font>
    <font>
      <sz val="10"/>
      <color indexed="20"/>
      <name val="Arial"/>
      <family val="2"/>
    </font>
    <font>
      <b/>
      <sz val="11"/>
      <color indexed="52"/>
      <name val="Arial"/>
      <family val="2"/>
    </font>
    <font>
      <b/>
      <sz val="11"/>
      <color indexed="9"/>
      <name val="Arial"/>
      <family val="2"/>
    </font>
    <font>
      <i/>
      <sz val="11"/>
      <color indexed="23"/>
      <name val="Arial"/>
      <family val="2"/>
    </font>
    <font>
      <i/>
      <sz val="10"/>
      <color indexed="23"/>
      <name val="Arial"/>
      <family val="2"/>
    </font>
    <font>
      <sz val="11"/>
      <color indexed="17"/>
      <name val="Arial"/>
      <family val="2"/>
    </font>
    <font>
      <sz val="10"/>
      <color indexed="17"/>
      <name val="Arial"/>
      <family val="2"/>
    </font>
    <font>
      <b/>
      <sz val="15"/>
      <color indexed="62"/>
      <name val="Calibri"/>
      <family val="2"/>
    </font>
    <font>
      <b/>
      <sz val="13"/>
      <color indexed="62"/>
      <name val="Calibri"/>
      <family val="2"/>
    </font>
    <font>
      <b/>
      <sz val="11"/>
      <color indexed="62"/>
      <name val="Calibri"/>
      <family val="2"/>
    </font>
    <font>
      <b/>
      <sz val="10"/>
      <name val="Univers"/>
      <family val="2"/>
    </font>
    <font>
      <sz val="11"/>
      <color indexed="62"/>
      <name val="Arial"/>
      <family val="2"/>
    </font>
    <font>
      <b/>
      <sz val="10"/>
      <color indexed="12"/>
      <name val="Arial"/>
      <family val="2"/>
    </font>
    <font>
      <sz val="11"/>
      <color indexed="52"/>
      <name val="Arial"/>
      <family val="2"/>
    </font>
    <font>
      <sz val="11"/>
      <color indexed="60"/>
      <name val="Arial"/>
      <family val="2"/>
    </font>
    <font>
      <sz val="10"/>
      <color indexed="60"/>
      <name val="Arial"/>
      <family val="2"/>
    </font>
    <font>
      <b/>
      <sz val="11"/>
      <color indexed="63"/>
      <name val="Arial"/>
      <family val="2"/>
    </font>
    <font>
      <i/>
      <sz val="10"/>
      <name val="Arial"/>
      <family val="2"/>
    </font>
    <font>
      <b/>
      <sz val="9"/>
      <name val="Arial"/>
      <family val="2"/>
    </font>
    <font>
      <sz val="18"/>
      <name val="Arial"/>
      <family val="2"/>
    </font>
    <font>
      <b/>
      <sz val="18"/>
      <color indexed="62"/>
      <name val="Cambria"/>
      <family val="2"/>
    </font>
    <font>
      <sz val="11"/>
      <color indexed="10"/>
      <name val="Arial"/>
      <family val="2"/>
    </font>
    <font>
      <sz val="10"/>
      <color indexed="10"/>
      <name val="Arial"/>
      <family val="2"/>
    </font>
    <font>
      <b/>
      <vertAlign val="superscript"/>
      <sz val="11"/>
      <color theme="1"/>
      <name val="Arial"/>
      <family val="2"/>
    </font>
    <font>
      <vertAlign val="superscript"/>
      <sz val="11"/>
      <color theme="1"/>
      <name val="Arial"/>
      <family val="2"/>
    </font>
    <font>
      <i/>
      <sz val="11"/>
      <color theme="1"/>
      <name val="Arial"/>
      <family val="2"/>
    </font>
    <font>
      <u/>
      <sz val="11"/>
      <color theme="10"/>
      <name val="Calibri"/>
      <family val="2"/>
      <scheme val="minor"/>
    </font>
    <font>
      <sz val="11"/>
      <color theme="3" tint="0.39997558519241921"/>
      <name val="Arial"/>
      <family val="2"/>
    </font>
    <font>
      <b/>
      <sz val="12"/>
      <color theme="1"/>
      <name val="Arial"/>
      <family val="2"/>
    </font>
    <font>
      <b/>
      <sz val="11"/>
      <color theme="1"/>
      <name val="Calibri"/>
      <family val="2"/>
      <scheme val="minor"/>
    </font>
    <font>
      <b/>
      <sz val="11"/>
      <color theme="1"/>
      <name val="Arial"/>
    </font>
  </fonts>
  <fills count="54">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indexed="22"/>
        <bgColor indexed="64"/>
      </patternFill>
    </fill>
    <fill>
      <patternFill patternType="solid">
        <fgColor theme="0" tint="-0.14999847407452621"/>
        <bgColor indexed="64"/>
      </patternFill>
    </fill>
    <fill>
      <patternFill patternType="solid">
        <fgColor theme="4" tint="0.79998168889431442"/>
        <bgColor indexed="64"/>
      </patternFill>
    </fill>
    <fill>
      <patternFill patternType="darkUp">
        <fgColor theme="0" tint="-4.9989318521683403E-2"/>
        <bgColor theme="0" tint="-0.14996795556505021"/>
      </patternFill>
    </fill>
    <fill>
      <patternFill patternType="solid">
        <fgColor theme="6" tint="0.79998168889431442"/>
        <bgColor indexed="64"/>
      </patternFill>
    </fill>
    <fill>
      <patternFill patternType="solid">
        <fgColor theme="5" tint="0.79998168889431442"/>
        <bgColor indexed="64"/>
      </patternFill>
    </fill>
    <fill>
      <patternFill patternType="lightGray">
        <fgColor theme="4" tint="0.79998168889431442"/>
        <bgColor theme="0"/>
      </patternFill>
    </fill>
    <fill>
      <patternFill patternType="lightGray">
        <fgColor theme="5" tint="0.79998168889431442"/>
        <bgColor theme="0"/>
      </patternFill>
    </fill>
    <fill>
      <patternFill patternType="solid">
        <fgColor theme="2"/>
        <bgColor theme="5" tint="0.79998168889431442"/>
      </patternFill>
    </fill>
    <fill>
      <patternFill patternType="lightGray">
        <fgColor theme="6" tint="0.79998168889431442"/>
        <bgColor theme="0"/>
      </patternFill>
    </fill>
    <fill>
      <patternFill patternType="lightGray">
        <fgColor theme="6" tint="0.79995117038483843"/>
        <bgColor theme="0"/>
      </patternFill>
    </fill>
    <fill>
      <patternFill patternType="solid">
        <fgColor theme="0"/>
        <bgColor theme="6" tint="0.79998168889431442"/>
      </patternFill>
    </fill>
    <fill>
      <patternFill patternType="solid">
        <fgColor theme="0"/>
        <bgColor theme="5" tint="0.79998168889431442"/>
      </patternFill>
    </fill>
    <fill>
      <patternFill patternType="solid">
        <fgColor theme="2" tint="-0.249977111117893"/>
        <bgColor indexed="64"/>
      </patternFill>
    </fill>
    <fill>
      <patternFill patternType="solid">
        <fgColor indexed="9"/>
        <bgColor indexed="64"/>
      </patternFill>
    </fill>
    <fill>
      <patternFill patternType="medium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indexed="1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theme="6" tint="0.79998168889431442"/>
      </patternFill>
    </fill>
    <fill>
      <patternFill patternType="solid">
        <fgColor theme="7" tint="0.79998168889431442"/>
        <bgColor theme="5" tint="0.79998168889431442"/>
      </patternFill>
    </fill>
    <fill>
      <patternFill patternType="solid">
        <fgColor theme="7" tint="0.79998168889431442"/>
        <bgColor indexed="64"/>
      </patternFill>
    </fill>
  </fills>
  <borders count="114">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style="thin">
        <color indexed="49"/>
      </top>
      <bottom style="double">
        <color indexed="49"/>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top/>
      <bottom style="double">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theme="0" tint="-0.249977111117893"/>
      </bottom>
      <diagonal/>
    </border>
    <border>
      <left/>
      <right/>
      <top style="thin">
        <color indexed="64"/>
      </top>
      <bottom style="thin">
        <color theme="0" tint="-0.249977111117893"/>
      </bottom>
      <diagonal/>
    </border>
    <border>
      <left style="thin">
        <color indexed="64"/>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right style="thin">
        <color indexed="64"/>
      </right>
      <top style="thin">
        <color theme="0" tint="-0.249977111117893"/>
      </top>
      <bottom/>
      <diagonal/>
    </border>
    <border>
      <left/>
      <right style="thin">
        <color indexed="64"/>
      </right>
      <top/>
      <bottom style="thin">
        <color theme="0" tint="-0.249977111117893"/>
      </bottom>
      <diagonal/>
    </border>
    <border>
      <left/>
      <right style="thin">
        <color indexed="64"/>
      </right>
      <top style="double">
        <color indexed="64"/>
      </top>
      <bottom style="medium">
        <color indexed="64"/>
      </bottom>
      <diagonal/>
    </border>
  </borders>
  <cellStyleXfs count="1248">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2" borderId="1" applyNumberFormat="0" applyFont="0" applyAlignment="0" applyProtection="0"/>
    <xf numFmtId="0" fontId="2" fillId="2" borderId="1" applyNumberFormat="0" applyFont="0" applyAlignment="0" applyProtection="0"/>
    <xf numFmtId="0" fontId="13" fillId="0" borderId="0" applyNumberFormat="0" applyFill="0" applyBorder="0" applyAlignment="0" applyProtection="0"/>
    <xf numFmtId="0" fontId="2" fillId="0" borderId="0"/>
    <xf numFmtId="172" fontId="2" fillId="0" borderId="0" applyFont="0" applyFill="0" applyBorder="0" applyAlignment="0" applyProtection="0"/>
    <xf numFmtId="0" fontId="19" fillId="0" borderId="0" applyNumberFormat="0" applyFill="0" applyBorder="0" applyAlignment="0" applyProtection="0">
      <alignment vertical="top"/>
      <protection locked="0"/>
    </xf>
    <xf numFmtId="44" fontId="2" fillId="0" borderId="0" applyFont="0" applyFill="0" applyBorder="0" applyAlignment="0" applyProtection="0"/>
    <xf numFmtId="0" fontId="2" fillId="0" borderId="0"/>
    <xf numFmtId="9" fontId="2" fillId="0" borderId="0" applyFont="0" applyFill="0" applyBorder="0" applyAlignment="0" applyProtection="0"/>
    <xf numFmtId="0" fontId="20" fillId="0" borderId="0" applyNumberFormat="0" applyFill="0" applyBorder="0" applyAlignment="0" applyProtection="0"/>
    <xf numFmtId="40" fontId="21" fillId="20" borderId="0">
      <alignment horizontal="right"/>
    </xf>
    <xf numFmtId="0" fontId="22" fillId="20" borderId="0">
      <alignment horizontal="right"/>
    </xf>
    <xf numFmtId="0" fontId="23" fillId="20" borderId="7"/>
    <xf numFmtId="0" fontId="23" fillId="0" borderId="0" applyBorder="0">
      <alignment horizontal="centerContinuous"/>
    </xf>
    <xf numFmtId="0" fontId="24" fillId="0" borderId="0" applyBorder="0">
      <alignment horizontal="centerContinuous"/>
    </xf>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1" fillId="0" borderId="0" applyFont="0" applyFill="0" applyBorder="0" applyAlignment="0" applyProtection="0"/>
    <xf numFmtId="174" fontId="2" fillId="0" borderId="0" applyBorder="0"/>
    <xf numFmtId="174" fontId="18" fillId="0" borderId="22" applyNumberFormat="0" applyFill="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27" fillId="32"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9" fillId="40" borderId="41" applyNumberFormat="0" applyAlignment="0" applyProtection="0"/>
    <xf numFmtId="0" fontId="30" fillId="41" borderId="42" applyNumberFormat="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3" fillId="24" borderId="0" applyNumberFormat="0" applyBorder="0" applyAlignment="0" applyProtection="0"/>
    <xf numFmtId="0" fontId="34" fillId="0" borderId="43"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36" fillId="0" borderId="0" applyNumberFormat="0" applyFill="0" applyBorder="0" applyAlignment="0" applyProtection="0"/>
    <xf numFmtId="0" fontId="32" fillId="0" borderId="0" applyNumberFormat="0" applyFill="0" applyBorder="0" applyAlignment="0" applyProtection="0">
      <alignment vertical="top"/>
      <protection locked="0"/>
    </xf>
    <xf numFmtId="0" fontId="37" fillId="27" borderId="41" applyNumberFormat="0" applyAlignment="0" applyProtection="0"/>
    <xf numFmtId="0" fontId="38" fillId="0" borderId="46" applyNumberFormat="0" applyFill="0" applyAlignment="0" applyProtection="0"/>
    <xf numFmtId="0" fontId="39" fillId="42" borderId="0" applyNumberFormat="0" applyBorder="0" applyAlignment="0" applyProtection="0"/>
    <xf numFmtId="0" fontId="2" fillId="43" borderId="47" applyNumberFormat="0" applyFont="0" applyAlignment="0" applyProtection="0"/>
    <xf numFmtId="0" fontId="40" fillId="40" borderId="48" applyNumberFormat="0" applyAlignment="0" applyProtection="0"/>
    <xf numFmtId="0" fontId="41" fillId="0" borderId="0" applyNumberFormat="0" applyFill="0" applyBorder="0" applyAlignment="0" applyProtection="0"/>
    <xf numFmtId="0" fontId="42" fillId="0" borderId="49" applyNumberFormat="0" applyFill="0" applyAlignment="0" applyProtection="0"/>
    <xf numFmtId="0" fontId="43" fillId="0" borderId="0" applyNumberFormat="0" applyFill="0" applyBorder="0" applyAlignment="0" applyProtection="0"/>
    <xf numFmtId="43" fontId="2" fillId="0" borderId="0" applyFont="0" applyFill="0" applyBorder="0" applyAlignment="0" applyProtection="0"/>
    <xf numFmtId="0" fontId="2" fillId="0" borderId="0"/>
    <xf numFmtId="174" fontId="2" fillId="0" borderId="0" applyBorder="0"/>
    <xf numFmtId="174" fontId="18" fillId="0" borderId="22" applyNumberFormat="0" applyFill="0" applyAlignment="0" applyProtection="0"/>
    <xf numFmtId="0" fontId="2" fillId="43" borderId="47" applyNumberFormat="0" applyFont="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0" fontId="26" fillId="0" borderId="2">
      <alignment horizontal="center"/>
    </xf>
    <xf numFmtId="3" fontId="25" fillId="0" borderId="0" applyFont="0" applyFill="0" applyBorder="0" applyAlignment="0" applyProtection="0"/>
    <xf numFmtId="0" fontId="25" fillId="21" borderId="0" applyNumberFormat="0" applyFont="0" applyBorder="0" applyAlignment="0" applyProtection="0"/>
    <xf numFmtId="43" fontId="2" fillId="0" borderId="0" applyFont="0" applyFill="0" applyBorder="0" applyAlignment="0" applyProtection="0"/>
    <xf numFmtId="0" fontId="44" fillId="0" borderId="0" applyNumberFormat="0" applyFill="0" applyBorder="0" applyAlignment="0" applyProtection="0"/>
    <xf numFmtId="165" fontId="2" fillId="0" borderId="0" applyFont="0" applyFill="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2"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3"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43"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4"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7"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45"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5" fillId="26"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4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45" fillId="27"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40"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5" fillId="29"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2"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0"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0"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40"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5" fillId="25"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5" fillId="28"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4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45" fillId="31"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46"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4"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2"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46"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29"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46"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42"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46" fillId="30"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47" fillId="30"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0"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47" fillId="33"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46"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29"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46" fillId="3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4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46"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4"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46"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46"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46"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44"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46" fillId="3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46"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46"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4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49" fillId="23" borderId="0" applyNumberFormat="0" applyBorder="0" applyAlignment="0" applyProtection="0"/>
    <xf numFmtId="0" fontId="29"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5"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29" fillId="40" borderId="41" applyNumberFormat="0" applyAlignment="0" applyProtection="0"/>
    <xf numFmtId="0" fontId="50" fillId="40"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5" borderId="41" applyNumberFormat="0" applyAlignment="0" applyProtection="0"/>
    <xf numFmtId="0" fontId="29" fillId="40" borderId="41"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51"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0" fontId="30" fillId="41" borderId="42" applyNumberFormat="0" applyAlignment="0" applyProtection="0"/>
    <xf numFmtId="173" fontId="2"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10"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1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5" fillId="24" borderId="0" applyNumberFormat="0" applyBorder="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34" fillId="0" borderId="43" applyNumberFormat="0" applyFill="0" applyAlignment="0" applyProtection="0"/>
    <xf numFmtId="0" fontId="34" fillId="0" borderId="43"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56" fillId="0" borderId="50"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5"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57" fillId="0" borderId="44" applyNumberFormat="0" applyFill="0" applyAlignment="0" applyProtection="0"/>
    <xf numFmtId="0" fontId="35" fillId="0" borderId="44"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36" fillId="0" borderId="45" applyNumberFormat="0" applyFill="0" applyAlignment="0" applyProtection="0"/>
    <xf numFmtId="0" fontId="36" fillId="0" borderId="45"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58" fillId="0" borderId="51"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3" fontId="59" fillId="46" borderId="0"/>
    <xf numFmtId="0" fontId="32" fillId="0" borderId="0" applyNumberFormat="0" applyFill="0" applyBorder="0" applyAlignment="0" applyProtection="0">
      <alignment vertical="top"/>
      <protection locked="0"/>
    </xf>
    <xf numFmtId="0" fontId="37"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42"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37" fillId="27" borderId="41" applyNumberFormat="0" applyAlignment="0" applyProtection="0"/>
    <xf numFmtId="0" fontId="60" fillId="27"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42" borderId="41" applyNumberFormat="0" applyAlignment="0" applyProtection="0"/>
    <xf numFmtId="0" fontId="37" fillId="27" borderId="41" applyNumberFormat="0" applyAlignment="0" applyProtection="0"/>
    <xf numFmtId="175" fontId="61" fillId="0" borderId="0" applyNumberFormat="0" applyAlignment="0"/>
    <xf numFmtId="175" fontId="18" fillId="0" borderId="0">
      <alignment horizontal="right"/>
    </xf>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62"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8" fillId="0" borderId="46" applyNumberFormat="0" applyFill="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64" fillId="42" borderId="0" applyNumberFormat="0" applyBorder="0" applyAlignment="0" applyProtection="0"/>
    <xf numFmtId="0" fontId="11" fillId="0" borderId="0"/>
    <xf numFmtId="0" fontId="11"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2"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11" fillId="43" borderId="47" applyNumberFormat="0" applyFont="0" applyAlignment="0" applyProtection="0"/>
    <xf numFmtId="0" fontId="40"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5"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40" fillId="40" borderId="48" applyNumberFormat="0" applyAlignment="0" applyProtection="0"/>
    <xf numFmtId="0" fontId="65" fillId="40"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40" fillId="45" borderId="48" applyNumberFormat="0" applyAlignment="0" applyProtection="0"/>
    <xf numFmtId="0" fontId="23" fillId="20" borderId="7"/>
    <xf numFmtId="0" fontId="23" fillId="20" borderId="7"/>
    <xf numFmtId="0" fontId="23" fillId="20" borderId="7"/>
    <xf numFmtId="0" fontId="40" fillId="40" borderId="4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6" fillId="0" borderId="2">
      <alignment horizontal="center"/>
    </xf>
    <xf numFmtId="0" fontId="26" fillId="0" borderId="2">
      <alignment horizontal="center"/>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2"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3"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4"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5"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0" borderId="56" applyNumberFormat="0" applyFont="0" applyFill="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7"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0" fontId="2" fillId="0" borderId="58" applyNumberFormat="0" applyFont="0" applyFill="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46" fontId="2" fillId="0" borderId="0" applyFont="0" applyFill="0" applyBorder="0" applyAlignment="0" applyProtection="0"/>
    <xf numFmtId="0" fontId="45" fillId="0" borderId="0" applyNumberFormat="0" applyFill="0" applyBorder="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59"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60"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61"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47" applyNumberFormat="0" applyFont="0" applyFill="0" applyAlignment="0" applyProtection="0"/>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2" fillId="0" borderId="0" applyNumberFormat="0" applyFont="0" applyFill="0" applyBorder="0" applyProtection="0">
      <alignment horizontal="center"/>
    </xf>
    <xf numFmtId="0" fontId="1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Protection="0">
      <alignment horizontal="left"/>
    </xf>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2" fillId="45" borderId="0" applyNumberFormat="0" applyFont="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2"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0" fontId="2" fillId="0" borderId="63" applyNumberFormat="0" applyFont="0" applyFill="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4"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5"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6"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7"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2" fillId="0" borderId="68" applyNumberFormat="0" applyFont="0" applyFill="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6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42" fillId="0" borderId="49" applyNumberFormat="0" applyFill="0" applyAlignment="0" applyProtection="0"/>
    <xf numFmtId="0" fontId="12" fillId="0" borderId="4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2" fillId="0" borderId="6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1" fillId="0" borderId="0" applyNumberFormat="0" applyFill="0" applyBorder="0" applyAlignment="0" applyProtection="0"/>
    <xf numFmtId="165" fontId="2" fillId="0" borderId="0" applyFont="0" applyFill="0" applyBorder="0" applyAlignment="0" applyProtection="0"/>
    <xf numFmtId="0" fontId="1" fillId="0" borderId="0"/>
    <xf numFmtId="0" fontId="44"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2" fillId="0" borderId="0"/>
    <xf numFmtId="0" fontId="19" fillId="0" borderId="0" applyNumberFormat="0" applyFill="0" applyBorder="0" applyAlignment="0" applyProtection="0">
      <alignment vertical="top"/>
      <protection locked="0"/>
    </xf>
    <xf numFmtId="0" fontId="75" fillId="0" borderId="0" applyNumberFormat="0" applyFill="0" applyBorder="0" applyAlignment="0" applyProtection="0"/>
  </cellStyleXfs>
  <cellXfs count="718">
    <xf numFmtId="0" fontId="0" fillId="0" borderId="0" xfId="0"/>
    <xf numFmtId="0" fontId="3" fillId="0" borderId="0" xfId="0" applyFont="1"/>
    <xf numFmtId="0" fontId="2" fillId="3" borderId="0" xfId="0" applyFont="1" applyFill="1"/>
    <xf numFmtId="0" fontId="3" fillId="3" borderId="0" xfId="0" applyFont="1" applyFill="1"/>
    <xf numFmtId="0" fontId="4" fillId="3" borderId="2" xfId="0" applyFont="1" applyFill="1" applyBorder="1"/>
    <xf numFmtId="0" fontId="3" fillId="3" borderId="2" xfId="0" applyFont="1" applyFill="1" applyBorder="1"/>
    <xf numFmtId="0" fontId="4" fillId="3" borderId="0" xfId="0" applyFont="1" applyFill="1" applyBorder="1"/>
    <xf numFmtId="0" fontId="3" fillId="3" borderId="0" xfId="0" applyFont="1" applyFill="1" applyBorder="1"/>
    <xf numFmtId="0" fontId="3" fillId="3" borderId="7" xfId="0" applyFont="1" applyFill="1" applyBorder="1"/>
    <xf numFmtId="0" fontId="4" fillId="4" borderId="13" xfId="0" applyFont="1" applyFill="1" applyBorder="1"/>
    <xf numFmtId="0" fontId="4" fillId="5" borderId="13" xfId="0" applyFont="1" applyFill="1" applyBorder="1"/>
    <xf numFmtId="0" fontId="3" fillId="5" borderId="13" xfId="0" applyFont="1" applyFill="1" applyBorder="1"/>
    <xf numFmtId="0" fontId="3" fillId="3" borderId="11" xfId="0" applyFont="1" applyFill="1" applyBorder="1"/>
    <xf numFmtId="0" fontId="4" fillId="3" borderId="17" xfId="0" applyFont="1" applyFill="1" applyBorder="1"/>
    <xf numFmtId="0" fontId="4" fillId="5" borderId="14" xfId="0" applyFont="1" applyFill="1" applyBorder="1"/>
    <xf numFmtId="0" fontId="3" fillId="5" borderId="14" xfId="0" applyFont="1" applyFill="1" applyBorder="1"/>
    <xf numFmtId="0" fontId="0" fillId="3" borderId="0" xfId="0" applyFill="1"/>
    <xf numFmtId="9" fontId="3" fillId="3" borderId="0" xfId="2" applyFont="1" applyFill="1" applyBorder="1"/>
    <xf numFmtId="0" fontId="4" fillId="4" borderId="15" xfId="0" applyFont="1" applyFill="1" applyBorder="1"/>
    <xf numFmtId="0" fontId="4" fillId="3" borderId="8" xfId="0" applyFont="1" applyFill="1" applyBorder="1"/>
    <xf numFmtId="0" fontId="4" fillId="5" borderId="12" xfId="0" applyFont="1" applyFill="1" applyBorder="1"/>
    <xf numFmtId="168" fontId="4" fillId="5" borderId="12" xfId="3" applyNumberFormat="1" applyFont="1" applyFill="1" applyBorder="1"/>
    <xf numFmtId="168" fontId="4" fillId="5" borderId="13" xfId="3" applyNumberFormat="1" applyFont="1" applyFill="1" applyBorder="1"/>
    <xf numFmtId="0" fontId="4" fillId="5" borderId="2" xfId="0" applyFont="1" applyFill="1" applyBorder="1"/>
    <xf numFmtId="168" fontId="4" fillId="5" borderId="13" xfId="0" applyNumberFormat="1" applyFont="1" applyFill="1" applyBorder="1"/>
    <xf numFmtId="168" fontId="4" fillId="5" borderId="14" xfId="0" applyNumberFormat="1" applyFont="1" applyFill="1" applyBorder="1"/>
    <xf numFmtId="168" fontId="3" fillId="3" borderId="0" xfId="3" applyNumberFormat="1" applyFont="1" applyFill="1"/>
    <xf numFmtId="168" fontId="4" fillId="5" borderId="12" xfId="0" applyNumberFormat="1" applyFont="1" applyFill="1" applyBorder="1"/>
    <xf numFmtId="168" fontId="4" fillId="5" borderId="18" xfId="3" applyNumberFormat="1" applyFont="1" applyFill="1" applyBorder="1"/>
    <xf numFmtId="168" fontId="4" fillId="5" borderId="15" xfId="3" applyNumberFormat="1" applyFont="1" applyFill="1" applyBorder="1"/>
    <xf numFmtId="168" fontId="4" fillId="5" borderId="15" xfId="0" applyNumberFormat="1" applyFont="1" applyFill="1" applyBorder="1"/>
    <xf numFmtId="168" fontId="4" fillId="5" borderId="17" xfId="0" applyNumberFormat="1" applyFont="1" applyFill="1" applyBorder="1"/>
    <xf numFmtId="0" fontId="3" fillId="5" borderId="17" xfId="0" applyFont="1" applyFill="1" applyBorder="1"/>
    <xf numFmtId="0" fontId="3" fillId="5" borderId="28" xfId="0" applyFont="1" applyFill="1" applyBorder="1"/>
    <xf numFmtId="0" fontId="3" fillId="5" borderId="21" xfId="0" applyFont="1" applyFill="1" applyBorder="1"/>
    <xf numFmtId="0" fontId="3" fillId="3" borderId="0" xfId="0" applyFont="1" applyFill="1"/>
    <xf numFmtId="0" fontId="3" fillId="3" borderId="2" xfId="0" applyFont="1" applyFill="1" applyBorder="1"/>
    <xf numFmtId="0" fontId="3" fillId="3" borderId="0" xfId="0" applyFont="1" applyFill="1" applyBorder="1"/>
    <xf numFmtId="0" fontId="3" fillId="3" borderId="6" xfId="0" applyFont="1" applyFill="1" applyBorder="1"/>
    <xf numFmtId="0" fontId="3" fillId="3" borderId="7" xfId="0" applyFont="1" applyFill="1" applyBorder="1"/>
    <xf numFmtId="0" fontId="3" fillId="3" borderId="8" xfId="0" applyFont="1" applyFill="1" applyBorder="1"/>
    <xf numFmtId="0" fontId="3" fillId="3" borderId="10" xfId="0" applyFont="1" applyFill="1" applyBorder="1"/>
    <xf numFmtId="0" fontId="4" fillId="4" borderId="21" xfId="0" applyFont="1" applyFill="1" applyBorder="1"/>
    <xf numFmtId="0" fontId="4" fillId="5" borderId="21" xfId="0" applyFont="1" applyFill="1" applyBorder="1"/>
    <xf numFmtId="0" fontId="4" fillId="4" borderId="13" xfId="0" applyFont="1" applyFill="1" applyBorder="1" applyAlignment="1">
      <alignment horizontal="center" wrapText="1"/>
    </xf>
    <xf numFmtId="0" fontId="3" fillId="5" borderId="15" xfId="0" applyFont="1" applyFill="1" applyBorder="1"/>
    <xf numFmtId="0" fontId="4" fillId="3" borderId="6" xfId="0" applyFont="1" applyFill="1" applyBorder="1"/>
    <xf numFmtId="0" fontId="4" fillId="4" borderId="15" xfId="0" applyFont="1" applyFill="1" applyBorder="1" applyAlignment="1">
      <alignment horizontal="center" wrapText="1"/>
    </xf>
    <xf numFmtId="168" fontId="3" fillId="3" borderId="7" xfId="3" applyNumberFormat="1" applyFont="1" applyFill="1" applyBorder="1"/>
    <xf numFmtId="0" fontId="3" fillId="5" borderId="9" xfId="0" applyFont="1" applyFill="1" applyBorder="1"/>
    <xf numFmtId="0" fontId="4" fillId="5" borderId="18" xfId="0" applyFont="1" applyFill="1" applyBorder="1"/>
    <xf numFmtId="0" fontId="4" fillId="5" borderId="15" xfId="0" applyFont="1" applyFill="1" applyBorder="1"/>
    <xf numFmtId="0" fontId="4" fillId="5" borderId="24" xfId="0" applyFont="1" applyFill="1" applyBorder="1"/>
    <xf numFmtId="0" fontId="4" fillId="5" borderId="17" xfId="0" applyFont="1" applyFill="1" applyBorder="1"/>
    <xf numFmtId="0" fontId="3" fillId="5" borderId="26" xfId="0" applyFont="1" applyFill="1" applyBorder="1"/>
    <xf numFmtId="0" fontId="4" fillId="5" borderId="29" xfId="0" applyFont="1" applyFill="1" applyBorder="1"/>
    <xf numFmtId="0" fontId="4" fillId="5" borderId="30" xfId="0" applyFont="1" applyFill="1" applyBorder="1"/>
    <xf numFmtId="0" fontId="4" fillId="5" borderId="28" xfId="0" applyFont="1" applyFill="1" applyBorder="1"/>
    <xf numFmtId="168" fontId="3" fillId="3" borderId="6" xfId="3" applyNumberFormat="1" applyFont="1" applyFill="1" applyBorder="1"/>
    <xf numFmtId="168" fontId="4" fillId="5" borderId="29" xfId="3" applyNumberFormat="1" applyFont="1" applyFill="1" applyBorder="1"/>
    <xf numFmtId="168" fontId="4" fillId="5" borderId="21" xfId="3" applyNumberFormat="1" applyFont="1" applyFill="1" applyBorder="1"/>
    <xf numFmtId="168" fontId="4" fillId="5" borderId="21" xfId="0" applyNumberFormat="1" applyFont="1" applyFill="1" applyBorder="1"/>
    <xf numFmtId="168" fontId="4" fillId="5" borderId="28" xfId="0" applyNumberFormat="1" applyFont="1" applyFill="1" applyBorder="1"/>
    <xf numFmtId="0" fontId="3" fillId="3" borderId="4" xfId="0" applyFont="1" applyFill="1" applyBorder="1"/>
    <xf numFmtId="9" fontId="3" fillId="3" borderId="26" xfId="2" applyFont="1" applyFill="1" applyBorder="1"/>
    <xf numFmtId="164" fontId="3" fillId="3" borderId="26" xfId="1" applyFont="1" applyFill="1" applyBorder="1"/>
    <xf numFmtId="0" fontId="3" fillId="3" borderId="0" xfId="0" applyFont="1" applyFill="1" applyBorder="1" applyAlignment="1">
      <alignment horizontal="center"/>
    </xf>
    <xf numFmtId="9" fontId="3" fillId="3" borderId="6" xfId="2" applyFont="1" applyFill="1" applyBorder="1"/>
    <xf numFmtId="9" fontId="3" fillId="5" borderId="21" xfId="2" applyFont="1" applyFill="1" applyBorder="1"/>
    <xf numFmtId="0" fontId="4" fillId="7" borderId="13" xfId="0" applyFont="1" applyFill="1" applyBorder="1" applyAlignment="1">
      <alignment horizontal="right"/>
    </xf>
    <xf numFmtId="0" fontId="4" fillId="9" borderId="21" xfId="0" applyFont="1" applyFill="1" applyBorder="1" applyAlignment="1">
      <alignment horizontal="center" wrapText="1"/>
    </xf>
    <xf numFmtId="0" fontId="4" fillId="9" borderId="13" xfId="0" applyFont="1" applyFill="1" applyBorder="1" applyAlignment="1">
      <alignment horizontal="center" wrapText="1"/>
    </xf>
    <xf numFmtId="0" fontId="4" fillId="9" borderId="15" xfId="0" applyFont="1" applyFill="1" applyBorder="1" applyAlignment="1">
      <alignment horizontal="center" wrapText="1"/>
    </xf>
    <xf numFmtId="0" fontId="4" fillId="9" borderId="3" xfId="0" applyFont="1" applyFill="1" applyBorder="1" applyAlignment="1">
      <alignment horizontal="center" wrapText="1"/>
    </xf>
    <xf numFmtId="0" fontId="4" fillId="4" borderId="4" xfId="0" applyFont="1" applyFill="1" applyBorder="1" applyAlignment="1">
      <alignment horizontal="center" wrapText="1"/>
    </xf>
    <xf numFmtId="9" fontId="3" fillId="12" borderId="6" xfId="2" applyFont="1" applyFill="1" applyBorder="1"/>
    <xf numFmtId="9" fontId="3" fillId="5" borderId="13" xfId="2" applyFont="1" applyFill="1" applyBorder="1"/>
    <xf numFmtId="167" fontId="3" fillId="15" borderId="0" xfId="2" applyNumberFormat="1" applyFont="1" applyFill="1" applyBorder="1"/>
    <xf numFmtId="167" fontId="3" fillId="15" borderId="22" xfId="2" applyNumberFormat="1" applyFont="1" applyFill="1" applyBorder="1"/>
    <xf numFmtId="167" fontId="3" fillId="5" borderId="13" xfId="2" applyNumberFormat="1" applyFont="1" applyFill="1" applyBorder="1"/>
    <xf numFmtId="167" fontId="3" fillId="3" borderId="31" xfId="2" applyNumberFormat="1" applyFont="1" applyFill="1" applyBorder="1"/>
    <xf numFmtId="167" fontId="3" fillId="16" borderId="0" xfId="2" applyNumberFormat="1" applyFont="1" applyFill="1" applyBorder="1"/>
    <xf numFmtId="0" fontId="4" fillId="5" borderId="13" xfId="0" applyFont="1" applyFill="1" applyBorder="1" applyAlignment="1">
      <alignment horizontal="center"/>
    </xf>
    <xf numFmtId="165" fontId="3" fillId="5" borderId="13" xfId="3" applyFont="1" applyFill="1" applyBorder="1"/>
    <xf numFmtId="0" fontId="4" fillId="5" borderId="21" xfId="0" applyFont="1" applyFill="1" applyBorder="1" applyAlignment="1">
      <alignment horizontal="center"/>
    </xf>
    <xf numFmtId="0" fontId="4" fillId="5" borderId="15" xfId="0" applyFont="1" applyFill="1" applyBorder="1" applyAlignment="1">
      <alignment horizontal="center"/>
    </xf>
    <xf numFmtId="164" fontId="4" fillId="5" borderId="14" xfId="1" applyFont="1" applyFill="1" applyBorder="1"/>
    <xf numFmtId="9" fontId="4" fillId="5" borderId="21" xfId="2" applyFont="1" applyFill="1" applyBorder="1"/>
    <xf numFmtId="9" fontId="4" fillId="5" borderId="13" xfId="2" applyFont="1" applyFill="1" applyBorder="1"/>
    <xf numFmtId="167" fontId="4" fillId="5" borderId="13" xfId="2" applyNumberFormat="1" applyFont="1" applyFill="1" applyBorder="1"/>
    <xf numFmtId="9" fontId="4" fillId="5" borderId="29" xfId="2" applyFont="1" applyFill="1" applyBorder="1"/>
    <xf numFmtId="167" fontId="4" fillId="5" borderId="12" xfId="2" applyNumberFormat="1" applyFont="1" applyFill="1" applyBorder="1"/>
    <xf numFmtId="0" fontId="14" fillId="3" borderId="0" xfId="0" applyFont="1" applyFill="1"/>
    <xf numFmtId="0" fontId="15" fillId="19" borderId="32" xfId="0" applyFont="1" applyFill="1" applyBorder="1"/>
    <xf numFmtId="0" fontId="15" fillId="3" borderId="33" xfId="0" applyFont="1" applyFill="1" applyBorder="1"/>
    <xf numFmtId="0" fontId="3" fillId="5" borderId="0" xfId="0" applyFont="1" applyFill="1" applyBorder="1"/>
    <xf numFmtId="0" fontId="3" fillId="4" borderId="13" xfId="0" applyFont="1" applyFill="1" applyBorder="1"/>
    <xf numFmtId="0" fontId="3" fillId="4" borderId="15" xfId="0" applyFont="1" applyFill="1" applyBorder="1"/>
    <xf numFmtId="0" fontId="3" fillId="5" borderId="7" xfId="0" applyFont="1" applyFill="1" applyBorder="1"/>
    <xf numFmtId="0" fontId="4" fillId="7" borderId="21" xfId="0" applyFont="1" applyFill="1" applyBorder="1"/>
    <xf numFmtId="0" fontId="3" fillId="5" borderId="6" xfId="0" applyFont="1" applyFill="1" applyBorder="1" applyAlignment="1">
      <alignment horizontal="left" indent="1"/>
    </xf>
    <xf numFmtId="0" fontId="3" fillId="5" borderId="8" xfId="0" applyFont="1" applyFill="1" applyBorder="1" applyAlignment="1">
      <alignment horizontal="left" indent="1"/>
    </xf>
    <xf numFmtId="9" fontId="3" fillId="12" borderId="4" xfId="2" applyFont="1" applyFill="1" applyBorder="1"/>
    <xf numFmtId="10" fontId="3" fillId="5" borderId="15" xfId="2" applyNumberFormat="1" applyFont="1" applyFill="1" applyBorder="1"/>
    <xf numFmtId="10" fontId="3" fillId="5" borderId="21" xfId="2" applyNumberFormat="1" applyFont="1" applyFill="1" applyBorder="1"/>
    <xf numFmtId="0" fontId="3" fillId="3" borderId="0" xfId="0" applyFont="1" applyFill="1" applyBorder="1" applyAlignment="1"/>
    <xf numFmtId="169" fontId="3" fillId="3" borderId="6" xfId="1" applyNumberFormat="1" applyFont="1" applyFill="1" applyBorder="1"/>
    <xf numFmtId="169" fontId="3" fillId="3" borderId="0" xfId="1" applyNumberFormat="1" applyFont="1" applyFill="1" applyBorder="1"/>
    <xf numFmtId="169" fontId="4" fillId="5" borderId="29" xfId="1" applyNumberFormat="1" applyFont="1" applyFill="1" applyBorder="1"/>
    <xf numFmtId="169" fontId="4" fillId="5" borderId="18" xfId="1" applyNumberFormat="1" applyFont="1" applyFill="1" applyBorder="1"/>
    <xf numFmtId="169" fontId="3" fillId="5" borderId="21" xfId="1" applyNumberFormat="1" applyFont="1" applyFill="1" applyBorder="1"/>
    <xf numFmtId="169" fontId="3" fillId="5" borderId="13" xfId="1" applyNumberFormat="1" applyFont="1" applyFill="1" applyBorder="1"/>
    <xf numFmtId="169" fontId="4" fillId="5" borderId="21" xfId="1" applyNumberFormat="1" applyFont="1" applyFill="1" applyBorder="1"/>
    <xf numFmtId="169" fontId="4" fillId="5" borderId="15" xfId="1" applyNumberFormat="1" applyFont="1" applyFill="1" applyBorder="1"/>
    <xf numFmtId="169" fontId="4" fillId="5" borderId="21" xfId="0" applyNumberFormat="1" applyFont="1" applyFill="1" applyBorder="1"/>
    <xf numFmtId="169" fontId="4" fillId="5" borderId="30" xfId="0" applyNumberFormat="1" applyFont="1" applyFill="1" applyBorder="1"/>
    <xf numFmtId="169" fontId="3" fillId="3" borderId="6" xfId="0" applyNumberFormat="1" applyFont="1" applyFill="1" applyBorder="1"/>
    <xf numFmtId="169" fontId="3" fillId="3" borderId="0" xfId="0" applyNumberFormat="1" applyFont="1" applyFill="1" applyBorder="1"/>
    <xf numFmtId="169" fontId="4" fillId="5" borderId="28" xfId="0" applyNumberFormat="1" applyFont="1" applyFill="1" applyBorder="1"/>
    <xf numFmtId="169" fontId="3" fillId="4" borderId="13" xfId="0" applyNumberFormat="1" applyFont="1" applyFill="1" applyBorder="1"/>
    <xf numFmtId="169" fontId="3" fillId="5" borderId="0" xfId="0" applyNumberFormat="1" applyFont="1" applyFill="1" applyBorder="1"/>
    <xf numFmtId="169" fontId="3" fillId="5" borderId="26" xfId="0" applyNumberFormat="1" applyFont="1" applyFill="1" applyBorder="1"/>
    <xf numFmtId="169" fontId="4" fillId="5" borderId="29" xfId="2" applyNumberFormat="1" applyFont="1" applyFill="1" applyBorder="1"/>
    <xf numFmtId="169" fontId="4" fillId="5" borderId="12" xfId="2" applyNumberFormat="1" applyFont="1" applyFill="1" applyBorder="1"/>
    <xf numFmtId="169" fontId="3" fillId="5" borderId="21" xfId="2" applyNumberFormat="1" applyFont="1" applyFill="1" applyBorder="1"/>
    <xf numFmtId="169" fontId="3" fillId="5" borderId="13" xfId="2" applyNumberFormat="1" applyFont="1" applyFill="1" applyBorder="1"/>
    <xf numFmtId="169" fontId="4" fillId="5" borderId="13" xfId="2" applyNumberFormat="1" applyFont="1" applyFill="1" applyBorder="1"/>
    <xf numFmtId="169" fontId="4" fillId="5" borderId="21" xfId="2" applyNumberFormat="1" applyFont="1" applyFill="1" applyBorder="1"/>
    <xf numFmtId="169" fontId="3" fillId="3" borderId="8" xfId="2" applyNumberFormat="1" applyFont="1" applyFill="1" applyBorder="1"/>
    <xf numFmtId="169" fontId="3" fillId="3" borderId="26" xfId="2" applyNumberFormat="1" applyFont="1" applyFill="1" applyBorder="1"/>
    <xf numFmtId="169" fontId="4" fillId="5" borderId="28" xfId="2" applyNumberFormat="1" applyFont="1" applyFill="1" applyBorder="1"/>
    <xf numFmtId="169" fontId="4" fillId="5" borderId="14" xfId="2" applyNumberFormat="1" applyFont="1" applyFill="1" applyBorder="1"/>
    <xf numFmtId="165" fontId="3" fillId="5" borderId="21" xfId="3" applyFont="1" applyFill="1" applyBorder="1"/>
    <xf numFmtId="166" fontId="3" fillId="5" borderId="13" xfId="2" applyNumberFormat="1" applyFont="1" applyFill="1" applyBorder="1"/>
    <xf numFmtId="166" fontId="3" fillId="3" borderId="0" xfId="0" applyNumberFormat="1" applyFont="1" applyFill="1" applyBorder="1"/>
    <xf numFmtId="166" fontId="3" fillId="4" borderId="13" xfId="0" applyNumberFormat="1" applyFont="1" applyFill="1" applyBorder="1"/>
    <xf numFmtId="166" fontId="3" fillId="5" borderId="0" xfId="0" applyNumberFormat="1" applyFont="1" applyFill="1" applyBorder="1"/>
    <xf numFmtId="166" fontId="3" fillId="5" borderId="26" xfId="0" applyNumberFormat="1" applyFont="1" applyFill="1" applyBorder="1"/>
    <xf numFmtId="166" fontId="3" fillId="5" borderId="13" xfId="1" applyNumberFormat="1" applyFont="1" applyFill="1" applyBorder="1"/>
    <xf numFmtId="169" fontId="3" fillId="3" borderId="19" xfId="2" applyNumberFormat="1" applyFont="1" applyFill="1" applyBorder="1"/>
    <xf numFmtId="169" fontId="3" fillId="3" borderId="7" xfId="0" applyNumberFormat="1" applyFont="1" applyFill="1" applyBorder="1"/>
    <xf numFmtId="169" fontId="4" fillId="5" borderId="17" xfId="0" applyNumberFormat="1" applyFont="1" applyFill="1" applyBorder="1"/>
    <xf numFmtId="169" fontId="3" fillId="5" borderId="13" xfId="0" applyNumberFormat="1" applyFont="1" applyFill="1" applyBorder="1"/>
    <xf numFmtId="169" fontId="3" fillId="5" borderId="15" xfId="0" applyNumberFormat="1" applyFont="1" applyFill="1" applyBorder="1"/>
    <xf numFmtId="168" fontId="3" fillId="3" borderId="0" xfId="3" applyNumberFormat="1" applyFont="1" applyFill="1" applyBorder="1"/>
    <xf numFmtId="9" fontId="4" fillId="10" borderId="33" xfId="0" applyNumberFormat="1" applyFont="1" applyFill="1" applyBorder="1" applyAlignment="1">
      <alignment horizontal="center"/>
    </xf>
    <xf numFmtId="0" fontId="3" fillId="0" borderId="0" xfId="0" applyFont="1" applyFill="1"/>
    <xf numFmtId="168" fontId="4" fillId="5" borderId="29" xfId="0" applyNumberFormat="1" applyFont="1" applyFill="1" applyBorder="1"/>
    <xf numFmtId="168" fontId="4" fillId="5" borderId="18" xfId="0" applyNumberFormat="1" applyFont="1" applyFill="1" applyBorder="1"/>
    <xf numFmtId="9" fontId="4" fillId="8" borderId="32" xfId="0" applyNumberFormat="1" applyFont="1" applyFill="1" applyBorder="1" applyAlignment="1">
      <alignment horizontal="centerContinuous" wrapText="1"/>
    </xf>
    <xf numFmtId="9" fontId="4" fillId="8" borderId="34" xfId="0" applyNumberFormat="1" applyFont="1" applyFill="1" applyBorder="1" applyAlignment="1">
      <alignment horizontal="centerContinuous" wrapText="1"/>
    </xf>
    <xf numFmtId="9" fontId="4" fillId="11" borderId="32" xfId="0" applyNumberFormat="1" applyFont="1" applyFill="1" applyBorder="1" applyAlignment="1">
      <alignment horizontal="centerContinuous" wrapText="1"/>
    </xf>
    <xf numFmtId="0" fontId="4" fillId="11" borderId="34" xfId="0" applyFont="1" applyFill="1" applyBorder="1" applyAlignment="1">
      <alignment horizontal="centerContinuous" wrapText="1"/>
    </xf>
    <xf numFmtId="9" fontId="4" fillId="5" borderId="28" xfId="0" applyNumberFormat="1" applyFont="1" applyFill="1" applyBorder="1"/>
    <xf numFmtId="167" fontId="3" fillId="15" borderId="26" xfId="2" applyNumberFormat="1" applyFont="1" applyFill="1" applyBorder="1"/>
    <xf numFmtId="9" fontId="3" fillId="3" borderId="0" xfId="0" applyNumberFormat="1" applyFont="1" applyFill="1" applyBorder="1"/>
    <xf numFmtId="9" fontId="3" fillId="5" borderId="13" xfId="0" applyNumberFormat="1" applyFont="1" applyFill="1" applyBorder="1"/>
    <xf numFmtId="9" fontId="3" fillId="3" borderId="0" xfId="1" applyNumberFormat="1" applyFont="1" applyFill="1" applyBorder="1"/>
    <xf numFmtId="0" fontId="0" fillId="0" borderId="38" xfId="0" applyBorder="1"/>
    <xf numFmtId="0" fontId="0" fillId="0" borderId="2" xfId="0" applyBorder="1"/>
    <xf numFmtId="9" fontId="4" fillId="5" borderId="12" xfId="1" applyNumberFormat="1" applyFont="1" applyFill="1" applyBorder="1"/>
    <xf numFmtId="9" fontId="4" fillId="5" borderId="13" xfId="1" applyNumberFormat="1" applyFont="1" applyFill="1" applyBorder="1"/>
    <xf numFmtId="169" fontId="3" fillId="5" borderId="21" xfId="0" applyNumberFormat="1" applyFont="1" applyFill="1" applyBorder="1"/>
    <xf numFmtId="3" fontId="3" fillId="3" borderId="6" xfId="1" applyNumberFormat="1" applyFont="1" applyFill="1" applyBorder="1"/>
    <xf numFmtId="3" fontId="4" fillId="5" borderId="29" xfId="1" applyNumberFormat="1" applyFont="1" applyFill="1" applyBorder="1"/>
    <xf numFmtId="3" fontId="3" fillId="3" borderId="6" xfId="0" applyNumberFormat="1" applyFont="1" applyFill="1" applyBorder="1"/>
    <xf numFmtId="3" fontId="3" fillId="5" borderId="21" xfId="0" applyNumberFormat="1" applyFont="1" applyFill="1" applyBorder="1"/>
    <xf numFmtId="3" fontId="4" fillId="5" borderId="21" xfId="1" applyNumberFormat="1" applyFont="1" applyFill="1" applyBorder="1"/>
    <xf numFmtId="3" fontId="4" fillId="5" borderId="28" xfId="0" applyNumberFormat="1" applyFont="1" applyFill="1" applyBorder="1"/>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7" borderId="15" xfId="0" applyFont="1" applyFill="1" applyBorder="1" applyAlignment="1">
      <alignment horizontal="right"/>
    </xf>
    <xf numFmtId="9" fontId="4" fillId="10" borderId="32" xfId="0" applyNumberFormat="1" applyFont="1" applyFill="1" applyBorder="1" applyAlignment="1">
      <alignment horizontal="centerContinuous"/>
    </xf>
    <xf numFmtId="9" fontId="4" fillId="10" borderId="34" xfId="0" applyNumberFormat="1" applyFont="1" applyFill="1" applyBorder="1" applyAlignment="1">
      <alignment horizontal="centerContinuous"/>
    </xf>
    <xf numFmtId="0" fontId="3" fillId="3" borderId="23" xfId="0" applyFont="1" applyFill="1" applyBorder="1" applyAlignment="1"/>
    <xf numFmtId="0" fontId="9" fillId="6" borderId="31" xfId="7" applyFont="1" applyFill="1" applyBorder="1" applyAlignment="1" applyProtection="1">
      <alignment horizontal="center" vertical="center" wrapText="1"/>
    </xf>
    <xf numFmtId="3" fontId="3" fillId="3" borderId="0" xfId="1" applyNumberFormat="1" applyFont="1" applyFill="1" applyBorder="1"/>
    <xf numFmtId="3" fontId="4" fillId="5" borderId="12" xfId="1" applyNumberFormat="1" applyFont="1" applyFill="1" applyBorder="1"/>
    <xf numFmtId="3" fontId="3" fillId="3" borderId="0" xfId="0" applyNumberFormat="1" applyFont="1" applyFill="1" applyBorder="1"/>
    <xf numFmtId="3" fontId="3" fillId="5" borderId="13" xfId="0" applyNumberFormat="1" applyFont="1" applyFill="1" applyBorder="1"/>
    <xf numFmtId="3" fontId="4" fillId="5" borderId="13" xfId="1" applyNumberFormat="1" applyFont="1" applyFill="1" applyBorder="1"/>
    <xf numFmtId="3" fontId="4" fillId="5" borderId="14" xfId="0" applyNumberFormat="1" applyFont="1" applyFill="1" applyBorder="1"/>
    <xf numFmtId="0" fontId="0" fillId="3" borderId="2" xfId="0" applyFill="1" applyBorder="1"/>
    <xf numFmtId="9" fontId="4" fillId="5" borderId="2" xfId="2" applyFont="1" applyFill="1" applyBorder="1"/>
    <xf numFmtId="9" fontId="3" fillId="5" borderId="14" xfId="2" applyFont="1" applyFill="1" applyBorder="1"/>
    <xf numFmtId="0" fontId="4" fillId="4" borderId="21" xfId="0" applyFont="1" applyFill="1" applyBorder="1" applyAlignment="1">
      <alignment horizontal="center" vertical="center" wrapText="1"/>
    </xf>
    <xf numFmtId="10" fontId="3" fillId="5" borderId="13" xfId="2" applyNumberFormat="1" applyFont="1" applyFill="1" applyBorder="1"/>
    <xf numFmtId="168" fontId="3" fillId="3" borderId="26" xfId="3" applyNumberFormat="1" applyFont="1" applyFill="1" applyBorder="1"/>
    <xf numFmtId="9" fontId="4" fillId="8" borderId="32" xfId="0" applyNumberFormat="1" applyFont="1" applyFill="1" applyBorder="1" applyAlignment="1">
      <alignment horizontal="center" wrapText="1"/>
    </xf>
    <xf numFmtId="9" fontId="4" fillId="11" borderId="34" xfId="0" applyNumberFormat="1" applyFont="1" applyFill="1" applyBorder="1" applyAlignment="1">
      <alignment horizontal="centerContinuous" wrapText="1"/>
    </xf>
    <xf numFmtId="170" fontId="3" fillId="13" borderId="4" xfId="1" applyNumberFormat="1" applyFont="1" applyFill="1" applyBorder="1"/>
    <xf numFmtId="170" fontId="3" fillId="13" borderId="6" xfId="1" applyNumberFormat="1" applyFont="1" applyFill="1" applyBorder="1"/>
    <xf numFmtId="170" fontId="3" fillId="13" borderId="8" xfId="1" applyNumberFormat="1" applyFont="1" applyFill="1" applyBorder="1"/>
    <xf numFmtId="170" fontId="4" fillId="5" borderId="29" xfId="2" applyNumberFormat="1" applyFont="1" applyFill="1" applyBorder="1"/>
    <xf numFmtId="170" fontId="3" fillId="3" borderId="36" xfId="2" applyNumberFormat="1" applyFont="1" applyFill="1" applyBorder="1"/>
    <xf numFmtId="170" fontId="3" fillId="5" borderId="21" xfId="2" applyNumberFormat="1" applyFont="1" applyFill="1" applyBorder="1"/>
    <xf numFmtId="170" fontId="4" fillId="5" borderId="21" xfId="1" applyNumberFormat="1" applyFont="1" applyFill="1" applyBorder="1"/>
    <xf numFmtId="170" fontId="4" fillId="5" borderId="21" xfId="2" applyNumberFormat="1" applyFont="1" applyFill="1" applyBorder="1"/>
    <xf numFmtId="170" fontId="4" fillId="14" borderId="21" xfId="2" applyNumberFormat="1" applyFont="1" applyFill="1" applyBorder="1"/>
    <xf numFmtId="170" fontId="3" fillId="13" borderId="22" xfId="1" applyNumberFormat="1" applyFont="1" applyFill="1" applyBorder="1"/>
    <xf numFmtId="170" fontId="3" fillId="13" borderId="0" xfId="1" applyNumberFormat="1" applyFont="1" applyFill="1" applyBorder="1"/>
    <xf numFmtId="170" fontId="3" fillId="13" borderId="26" xfId="1" applyNumberFormat="1" applyFont="1" applyFill="1" applyBorder="1"/>
    <xf numFmtId="170" fontId="4" fillId="5" borderId="12" xfId="2" applyNumberFormat="1" applyFont="1" applyFill="1" applyBorder="1"/>
    <xf numFmtId="170" fontId="3" fillId="3" borderId="31" xfId="2" applyNumberFormat="1" applyFont="1" applyFill="1" applyBorder="1"/>
    <xf numFmtId="170" fontId="3" fillId="5" borderId="13" xfId="2" applyNumberFormat="1" applyFont="1" applyFill="1" applyBorder="1"/>
    <xf numFmtId="170" fontId="4" fillId="5" borderId="13" xfId="2" applyNumberFormat="1" applyFont="1" applyFill="1" applyBorder="1"/>
    <xf numFmtId="170" fontId="4" fillId="14" borderId="13" xfId="2" applyNumberFormat="1" applyFont="1" applyFill="1" applyBorder="1"/>
    <xf numFmtId="170" fontId="3" fillId="13" borderId="0" xfId="2" applyNumberFormat="1" applyFont="1" applyFill="1" applyBorder="1"/>
    <xf numFmtId="168" fontId="3" fillId="15" borderId="4" xfId="3" applyNumberFormat="1" applyFont="1" applyFill="1" applyBorder="1"/>
    <xf numFmtId="168" fontId="3" fillId="15" borderId="6" xfId="3" applyNumberFormat="1" applyFont="1" applyFill="1" applyBorder="1"/>
    <xf numFmtId="168" fontId="3" fillId="15" borderId="8" xfId="3" applyNumberFormat="1" applyFont="1" applyFill="1" applyBorder="1"/>
    <xf numFmtId="168" fontId="3" fillId="3" borderId="36" xfId="3" applyNumberFormat="1" applyFont="1" applyFill="1" applyBorder="1"/>
    <xf numFmtId="168" fontId="3" fillId="5" borderId="21" xfId="3" applyNumberFormat="1" applyFont="1" applyFill="1" applyBorder="1"/>
    <xf numFmtId="168" fontId="3" fillId="3" borderId="8" xfId="3" applyNumberFormat="1" applyFont="1" applyFill="1" applyBorder="1"/>
    <xf numFmtId="168" fontId="4" fillId="5" borderId="28" xfId="3" applyNumberFormat="1" applyFont="1" applyFill="1" applyBorder="1"/>
    <xf numFmtId="168" fontId="3" fillId="15" borderId="22" xfId="3" applyNumberFormat="1" applyFont="1" applyFill="1" applyBorder="1"/>
    <xf numFmtId="168" fontId="3" fillId="15" borderId="0" xfId="3" applyNumberFormat="1" applyFont="1" applyFill="1" applyBorder="1"/>
    <xf numFmtId="168" fontId="3" fillId="15" borderId="26" xfId="3" applyNumberFormat="1" applyFont="1" applyFill="1" applyBorder="1"/>
    <xf numFmtId="168" fontId="3" fillId="3" borderId="31" xfId="3" applyNumberFormat="1" applyFont="1" applyFill="1" applyBorder="1"/>
    <xf numFmtId="168" fontId="3" fillId="5" borderId="13" xfId="3" applyNumberFormat="1" applyFont="1" applyFill="1" applyBorder="1"/>
    <xf numFmtId="168" fontId="4" fillId="5" borderId="14" xfId="3" applyNumberFormat="1" applyFont="1" applyFill="1" applyBorder="1"/>
    <xf numFmtId="170" fontId="3" fillId="15" borderId="22" xfId="1" applyNumberFormat="1" applyFont="1" applyFill="1" applyBorder="1"/>
    <xf numFmtId="170" fontId="3" fillId="15" borderId="0" xfId="2" applyNumberFormat="1" applyFont="1" applyFill="1" applyBorder="1"/>
    <xf numFmtId="170" fontId="3" fillId="15" borderId="0" xfId="1" applyNumberFormat="1" applyFont="1" applyFill="1" applyBorder="1"/>
    <xf numFmtId="170" fontId="3" fillId="15" borderId="26" xfId="1" applyNumberFormat="1" applyFont="1" applyFill="1" applyBorder="1"/>
    <xf numFmtId="170" fontId="4" fillId="5" borderId="12" xfId="1" applyNumberFormat="1" applyFont="1" applyFill="1" applyBorder="1"/>
    <xf numFmtId="170" fontId="4" fillId="5" borderId="13" xfId="1" applyNumberFormat="1" applyFont="1" applyFill="1" applyBorder="1"/>
    <xf numFmtId="170" fontId="3" fillId="3" borderId="26" xfId="1" applyNumberFormat="1" applyFont="1" applyFill="1" applyBorder="1"/>
    <xf numFmtId="170" fontId="4" fillId="5" borderId="14" xfId="1" applyNumberFormat="1" applyFont="1" applyFill="1" applyBorder="1"/>
    <xf numFmtId="168" fontId="4" fillId="5" borderId="2" xfId="3" applyNumberFormat="1" applyFont="1" applyFill="1" applyBorder="1"/>
    <xf numFmtId="171" fontId="3" fillId="3" borderId="0" xfId="1" applyNumberFormat="1" applyFont="1" applyFill="1" applyBorder="1"/>
    <xf numFmtId="0" fontId="3" fillId="3" borderId="2" xfId="0" applyFont="1" applyFill="1" applyBorder="1" applyAlignment="1">
      <alignment horizontal="left"/>
    </xf>
    <xf numFmtId="0" fontId="3" fillId="3" borderId="0" xfId="0" applyFont="1" applyFill="1" applyAlignment="1">
      <alignment horizontal="left"/>
    </xf>
    <xf numFmtId="0" fontId="4" fillId="5" borderId="13" xfId="0" applyFont="1" applyFill="1" applyBorder="1" applyAlignment="1">
      <alignment horizontal="left"/>
    </xf>
    <xf numFmtId="0" fontId="4" fillId="5" borderId="12" xfId="0" applyFont="1" applyFill="1" applyBorder="1" applyAlignment="1">
      <alignment horizontal="left"/>
    </xf>
    <xf numFmtId="0" fontId="3" fillId="5" borderId="13" xfId="0" applyFont="1" applyFill="1" applyBorder="1" applyAlignment="1">
      <alignment horizontal="left"/>
    </xf>
    <xf numFmtId="0" fontId="4" fillId="5" borderId="2" xfId="0" applyFont="1" applyFill="1" applyBorder="1" applyAlignment="1">
      <alignment horizontal="left"/>
    </xf>
    <xf numFmtId="0" fontId="3" fillId="5" borderId="14" xfId="0" applyFont="1" applyFill="1" applyBorder="1" applyAlignment="1">
      <alignment horizontal="left"/>
    </xf>
    <xf numFmtId="0" fontId="3" fillId="3" borderId="0" xfId="0" applyFont="1" applyFill="1" applyBorder="1" applyAlignment="1">
      <alignment horizontal="left"/>
    </xf>
    <xf numFmtId="171" fontId="3" fillId="3" borderId="0" xfId="1" applyNumberFormat="1" applyFont="1" applyFill="1"/>
    <xf numFmtId="0" fontId="4" fillId="4" borderId="5" xfId="0" applyFont="1" applyFill="1" applyBorder="1" applyAlignment="1">
      <alignment horizontal="center" vertical="center" wrapText="1"/>
    </xf>
    <xf numFmtId="171" fontId="4" fillId="5" borderId="28" xfId="0" applyNumberFormat="1" applyFont="1" applyFill="1" applyBorder="1"/>
    <xf numFmtId="0" fontId="3" fillId="3" borderId="26" xfId="0" applyFont="1" applyFill="1" applyBorder="1"/>
    <xf numFmtId="0" fontId="4" fillId="3" borderId="2" xfId="0" applyFont="1" applyFill="1" applyBorder="1" applyAlignment="1">
      <alignment horizontal="left"/>
    </xf>
    <xf numFmtId="9" fontId="4" fillId="5" borderId="14" xfId="2" applyFont="1" applyFill="1" applyBorder="1"/>
    <xf numFmtId="0" fontId="15" fillId="3" borderId="33" xfId="0" applyFont="1" applyFill="1" applyBorder="1" applyAlignment="1">
      <alignment horizontal="right"/>
    </xf>
    <xf numFmtId="0" fontId="0" fillId="0" borderId="37" xfId="0" applyBorder="1"/>
    <xf numFmtId="0" fontId="0" fillId="3" borderId="0" xfId="0" applyFill="1" applyBorder="1"/>
    <xf numFmtId="0" fontId="0" fillId="0" borderId="0" xfId="0" applyBorder="1"/>
    <xf numFmtId="9" fontId="5" fillId="3" borderId="7" xfId="2" applyFont="1" applyFill="1" applyBorder="1"/>
    <xf numFmtId="10" fontId="5" fillId="3" borderId="7" xfId="2" applyNumberFormat="1" applyFont="1" applyFill="1" applyBorder="1"/>
    <xf numFmtId="9" fontId="5" fillId="3" borderId="9" xfId="0" applyNumberFormat="1" applyFont="1" applyFill="1" applyBorder="1"/>
    <xf numFmtId="9" fontId="5" fillId="3" borderId="7" xfId="2" applyFont="1" applyFill="1" applyBorder="1" applyAlignment="1">
      <alignment vertical="center" wrapText="1"/>
    </xf>
    <xf numFmtId="9" fontId="5" fillId="3" borderId="9" xfId="2" applyFont="1" applyFill="1" applyBorder="1" applyAlignment="1">
      <alignment vertical="center" wrapText="1"/>
    </xf>
    <xf numFmtId="0" fontId="4" fillId="4" borderId="26" xfId="0" applyFont="1" applyFill="1" applyBorder="1" applyAlignment="1">
      <alignment horizontal="left" vertical="center" wrapText="1"/>
    </xf>
    <xf numFmtId="0" fontId="4" fillId="4" borderId="8" xfId="0" applyFont="1" applyFill="1" applyBorder="1" applyAlignment="1">
      <alignment horizontal="center" vertical="center" wrapText="1"/>
    </xf>
    <xf numFmtId="0" fontId="3" fillId="3" borderId="0" xfId="0" applyFont="1" applyFill="1" applyAlignment="1">
      <alignment vertical="center"/>
    </xf>
    <xf numFmtId="0" fontId="4" fillId="4" borderId="4" xfId="0" applyFont="1" applyFill="1" applyBorder="1" applyAlignment="1">
      <alignment horizontal="center" vertical="center" wrapText="1"/>
    </xf>
    <xf numFmtId="168" fontId="4" fillId="3" borderId="40" xfId="3" applyNumberFormat="1" applyFont="1" applyFill="1" applyBorder="1"/>
    <xf numFmtId="168" fontId="4" fillId="3" borderId="40" xfId="0" applyNumberFormat="1" applyFont="1" applyFill="1" applyBorder="1"/>
    <xf numFmtId="0" fontId="5" fillId="3" borderId="7" xfId="0" applyFont="1" applyFill="1" applyBorder="1"/>
    <xf numFmtId="0" fontId="5" fillId="3" borderId="7" xfId="0" applyFont="1" applyFill="1" applyBorder="1" applyAlignment="1">
      <alignment horizontal="right"/>
    </xf>
    <xf numFmtId="0" fontId="5" fillId="3" borderId="9" xfId="0" applyFont="1" applyFill="1" applyBorder="1"/>
    <xf numFmtId="0" fontId="5" fillId="3" borderId="0" xfId="0" applyFont="1" applyFill="1"/>
    <xf numFmtId="0" fontId="5" fillId="3" borderId="0" xfId="0" applyFont="1" applyFill="1" applyBorder="1"/>
    <xf numFmtId="0" fontId="3" fillId="3" borderId="6" xfId="0" applyFont="1" applyFill="1" applyBorder="1"/>
    <xf numFmtId="0" fontId="4" fillId="4" borderId="15"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4" fillId="4" borderId="3" xfId="0" applyFont="1" applyFill="1" applyBorder="1" applyAlignment="1">
      <alignment vertical="top" wrapText="1"/>
    </xf>
    <xf numFmtId="0" fontId="4" fillId="4" borderId="3" xfId="0" applyFont="1" applyFill="1" applyBorder="1" applyAlignment="1">
      <alignment vertical="top"/>
    </xf>
    <xf numFmtId="0" fontId="4" fillId="4" borderId="11" xfId="0" applyFont="1" applyFill="1" applyBorder="1" applyAlignment="1">
      <alignment horizontal="center" vertical="top" wrapText="1"/>
    </xf>
    <xf numFmtId="0" fontId="4" fillId="4" borderId="21" xfId="0" applyFont="1" applyFill="1" applyBorder="1" applyAlignment="1">
      <alignment wrapText="1"/>
    </xf>
    <xf numFmtId="0" fontId="3" fillId="3" borderId="70" xfId="0" applyFont="1" applyFill="1" applyBorder="1"/>
    <xf numFmtId="0" fontId="3" fillId="3" borderId="37" xfId="0" applyFont="1" applyFill="1" applyBorder="1" applyAlignment="1">
      <alignment horizontal="left" indent="1"/>
    </xf>
    <xf numFmtId="0" fontId="3" fillId="3" borderId="71" xfId="0" applyFont="1" applyFill="1" applyBorder="1" applyAlignment="1">
      <alignment horizontal="left"/>
    </xf>
    <xf numFmtId="0" fontId="9" fillId="6" borderId="72" xfId="7" applyFont="1" applyFill="1" applyBorder="1" applyAlignment="1" applyProtection="1">
      <alignment horizontal="centerContinuous" vertical="center" wrapText="1"/>
    </xf>
    <xf numFmtId="0" fontId="3" fillId="4" borderId="70" xfId="0" applyFont="1" applyFill="1" applyBorder="1"/>
    <xf numFmtId="0" fontId="4" fillId="5" borderId="73" xfId="0" applyFont="1" applyFill="1" applyBorder="1"/>
    <xf numFmtId="0" fontId="3" fillId="4" borderId="73" xfId="0" applyFont="1" applyFill="1" applyBorder="1"/>
    <xf numFmtId="0" fontId="3" fillId="3" borderId="37" xfId="0" applyFont="1" applyFill="1" applyBorder="1" applyAlignment="1">
      <alignment horizontal="left"/>
    </xf>
    <xf numFmtId="3" fontId="3" fillId="3" borderId="4" xfId="1" applyNumberFormat="1" applyFont="1" applyFill="1" applyBorder="1"/>
    <xf numFmtId="3" fontId="0" fillId="0" borderId="0" xfId="0" applyNumberFormat="1"/>
    <xf numFmtId="178" fontId="3" fillId="3" borderId="0" xfId="0" applyNumberFormat="1" applyFont="1" applyFill="1"/>
    <xf numFmtId="0" fontId="3" fillId="3" borderId="0" xfId="0" applyFont="1" applyFill="1" applyAlignment="1">
      <alignment horizontal="right" indent="1"/>
    </xf>
    <xf numFmtId="181" fontId="3" fillId="3" borderId="0" xfId="1" applyNumberFormat="1" applyFont="1" applyFill="1"/>
    <xf numFmtId="0" fontId="4" fillId="4" borderId="13" xfId="0" applyFont="1" applyFill="1" applyBorder="1" applyAlignment="1">
      <alignment horizontal="center" vertical="center" wrapText="1"/>
    </xf>
    <xf numFmtId="3" fontId="3" fillId="3" borderId="0" xfId="0" applyNumberFormat="1" applyFont="1" applyFill="1" applyBorder="1" applyAlignment="1">
      <alignment horizontal="right" indent="1"/>
    </xf>
    <xf numFmtId="0" fontId="3" fillId="3" borderId="0" xfId="0" applyFont="1" applyFill="1" applyBorder="1" applyAlignment="1">
      <alignment horizontal="right" indent="1"/>
    </xf>
    <xf numFmtId="0" fontId="3" fillId="0" borderId="0" xfId="0" applyFont="1" applyFill="1" applyBorder="1"/>
    <xf numFmtId="7" fontId="3" fillId="3" borderId="0" xfId="1" applyNumberFormat="1" applyFont="1" applyFill="1" applyBorder="1"/>
    <xf numFmtId="168" fontId="4" fillId="5" borderId="30" xfId="0" applyNumberFormat="1" applyFont="1" applyFill="1" applyBorder="1"/>
    <xf numFmtId="9" fontId="3" fillId="3" borderId="6" xfId="2" applyFont="1" applyFill="1" applyBorder="1" applyAlignment="1">
      <alignment horizontal="center"/>
    </xf>
    <xf numFmtId="0" fontId="4" fillId="5" borderId="29" xfId="0" applyFont="1" applyFill="1" applyBorder="1" applyAlignment="1">
      <alignment horizontal="center"/>
    </xf>
    <xf numFmtId="9" fontId="4" fillId="5" borderId="12" xfId="2" applyFont="1" applyFill="1" applyBorder="1" applyAlignment="1">
      <alignment horizontal="center"/>
    </xf>
    <xf numFmtId="9" fontId="3" fillId="3" borderId="0" xfId="2" applyFont="1" applyFill="1" applyBorder="1" applyAlignment="1">
      <alignment horizontal="center"/>
    </xf>
    <xf numFmtId="0" fontId="3" fillId="5" borderId="21" xfId="0" applyFont="1" applyFill="1" applyBorder="1" applyAlignment="1">
      <alignment horizontal="center"/>
    </xf>
    <xf numFmtId="9" fontId="3" fillId="5" borderId="13" xfId="2" applyFont="1" applyFill="1" applyBorder="1" applyAlignment="1">
      <alignment horizontal="center"/>
    </xf>
    <xf numFmtId="9" fontId="4" fillId="5" borderId="13" xfId="2" applyFont="1" applyFill="1" applyBorder="1" applyAlignment="1">
      <alignment horizontal="center"/>
    </xf>
    <xf numFmtId="167" fontId="3" fillId="3" borderId="7" xfId="2" applyNumberFormat="1" applyFont="1" applyFill="1" applyBorder="1" applyAlignment="1">
      <alignment horizontal="center"/>
    </xf>
    <xf numFmtId="0" fontId="4" fillId="5" borderId="18" xfId="0" applyFont="1" applyFill="1" applyBorder="1" applyAlignment="1">
      <alignment horizontal="center"/>
    </xf>
    <xf numFmtId="9" fontId="3" fillId="3" borderId="7" xfId="2" applyFont="1" applyFill="1" applyBorder="1" applyAlignment="1">
      <alignment horizontal="center"/>
    </xf>
    <xf numFmtId="0" fontId="3" fillId="5" borderId="15" xfId="0" applyFont="1" applyFill="1" applyBorder="1" applyAlignment="1">
      <alignment horizontal="center"/>
    </xf>
    <xf numFmtId="182" fontId="3" fillId="3" borderId="0" xfId="1" applyNumberFormat="1" applyFont="1" applyFill="1" applyBorder="1"/>
    <xf numFmtId="182" fontId="3" fillId="12" borderId="0" xfId="1" applyNumberFormat="1" applyFont="1" applyFill="1" applyBorder="1"/>
    <xf numFmtId="182" fontId="4" fillId="5" borderId="12" xfId="1" applyNumberFormat="1" applyFont="1" applyFill="1" applyBorder="1"/>
    <xf numFmtId="182" fontId="4" fillId="5" borderId="13" xfId="1" applyNumberFormat="1" applyFont="1" applyFill="1" applyBorder="1"/>
    <xf numFmtId="182" fontId="4" fillId="5" borderId="2" xfId="1" applyNumberFormat="1" applyFont="1" applyFill="1" applyBorder="1"/>
    <xf numFmtId="182" fontId="3" fillId="3" borderId="0" xfId="1" applyNumberFormat="1" applyFont="1" applyFill="1"/>
    <xf numFmtId="182" fontId="4" fillId="5" borderId="14" xfId="1" applyNumberFormat="1" applyFont="1" applyFill="1" applyBorder="1"/>
    <xf numFmtId="182" fontId="3" fillId="5" borderId="13" xfId="1" applyNumberFormat="1" applyFont="1" applyFill="1" applyBorder="1"/>
    <xf numFmtId="182" fontId="3" fillId="3" borderId="0" xfId="0" applyNumberFormat="1" applyFont="1" applyFill="1" applyBorder="1"/>
    <xf numFmtId="182" fontId="3" fillId="4" borderId="13" xfId="0" applyNumberFormat="1" applyFont="1" applyFill="1" applyBorder="1"/>
    <xf numFmtId="182" fontId="3" fillId="5" borderId="0" xfId="0" applyNumberFormat="1" applyFont="1" applyFill="1" applyBorder="1"/>
    <xf numFmtId="182" fontId="3" fillId="5" borderId="26" xfId="0" applyNumberFormat="1" applyFont="1" applyFill="1" applyBorder="1"/>
    <xf numFmtId="182" fontId="3" fillId="13" borderId="22" xfId="1" applyNumberFormat="1" applyFont="1" applyFill="1" applyBorder="1"/>
    <xf numFmtId="182" fontId="3" fillId="13" borderId="0" xfId="2" applyNumberFormat="1" applyFont="1" applyFill="1" applyBorder="1"/>
    <xf numFmtId="182" fontId="3" fillId="13" borderId="0" xfId="1" applyNumberFormat="1" applyFont="1" applyFill="1" applyBorder="1"/>
    <xf numFmtId="182" fontId="3" fillId="13" borderId="26" xfId="1" applyNumberFormat="1" applyFont="1" applyFill="1" applyBorder="1"/>
    <xf numFmtId="182" fontId="4" fillId="5" borderId="12" xfId="2" applyNumberFormat="1" applyFont="1" applyFill="1" applyBorder="1"/>
    <xf numFmtId="182" fontId="3" fillId="3" borderId="31" xfId="2" applyNumberFormat="1" applyFont="1" applyFill="1" applyBorder="1"/>
    <xf numFmtId="182" fontId="3" fillId="5" borderId="13" xfId="2" applyNumberFormat="1" applyFont="1" applyFill="1" applyBorder="1"/>
    <xf numFmtId="182" fontId="4" fillId="5" borderId="13" xfId="2" applyNumberFormat="1" applyFont="1" applyFill="1" applyBorder="1"/>
    <xf numFmtId="182" fontId="4" fillId="14" borderId="13" xfId="2" applyNumberFormat="1" applyFont="1" applyFill="1" applyBorder="1"/>
    <xf numFmtId="179" fontId="3" fillId="15" borderId="22" xfId="1" applyNumberFormat="1" applyFont="1" applyFill="1" applyBorder="1"/>
    <xf numFmtId="179" fontId="3" fillId="15" borderId="0" xfId="2" applyNumberFormat="1" applyFont="1" applyFill="1" applyBorder="1"/>
    <xf numFmtId="179" fontId="3" fillId="15" borderId="0" xfId="1" applyNumberFormat="1" applyFont="1" applyFill="1" applyBorder="1"/>
    <xf numFmtId="179" fontId="3" fillId="15" borderId="26" xfId="1" applyNumberFormat="1" applyFont="1" applyFill="1" applyBorder="1"/>
    <xf numFmtId="179" fontId="4" fillId="5" borderId="12" xfId="1" applyNumberFormat="1" applyFont="1" applyFill="1" applyBorder="1"/>
    <xf numFmtId="179" fontId="3" fillId="3" borderId="31" xfId="2" applyNumberFormat="1" applyFont="1" applyFill="1" applyBorder="1"/>
    <xf numFmtId="179" fontId="3" fillId="5" borderId="13" xfId="2" applyNumberFormat="1" applyFont="1" applyFill="1" applyBorder="1"/>
    <xf numFmtId="179" fontId="4" fillId="5" borderId="13" xfId="1" applyNumberFormat="1" applyFont="1" applyFill="1" applyBorder="1"/>
    <xf numFmtId="179" fontId="3" fillId="3" borderId="0" xfId="1" applyNumberFormat="1" applyFont="1" applyFill="1" applyBorder="1"/>
    <xf numFmtId="179" fontId="4" fillId="5" borderId="14" xfId="1" applyNumberFormat="1" applyFont="1" applyFill="1" applyBorder="1"/>
    <xf numFmtId="179" fontId="3" fillId="5" borderId="13" xfId="1" applyNumberFormat="1" applyFont="1" applyFill="1" applyBorder="1"/>
    <xf numFmtId="179" fontId="3" fillId="16" borderId="0" xfId="1" applyNumberFormat="1" applyFont="1" applyFill="1" applyBorder="1"/>
    <xf numFmtId="179" fontId="3" fillId="3" borderId="0" xfId="0" applyNumberFormat="1" applyFont="1" applyFill="1" applyBorder="1"/>
    <xf numFmtId="179" fontId="3" fillId="4" borderId="13" xfId="0" applyNumberFormat="1" applyFont="1" applyFill="1" applyBorder="1"/>
    <xf numFmtId="179" fontId="3" fillId="5" borderId="0" xfId="0" applyNumberFormat="1" applyFont="1" applyFill="1" applyBorder="1"/>
    <xf numFmtId="179" fontId="3" fillId="5" borderId="26" xfId="0" applyNumberFormat="1" applyFont="1" applyFill="1" applyBorder="1"/>
    <xf numFmtId="182" fontId="7" fillId="5" borderId="13" xfId="1" applyNumberFormat="1" applyFont="1" applyFill="1" applyBorder="1"/>
    <xf numFmtId="7" fontId="3" fillId="3" borderId="0" xfId="1" applyNumberFormat="1" applyFont="1" applyFill="1" applyBorder="1" applyAlignment="1">
      <alignment horizontal="right"/>
    </xf>
    <xf numFmtId="0" fontId="0" fillId="0" borderId="2" xfId="0" applyFill="1" applyBorder="1"/>
    <xf numFmtId="169" fontId="3" fillId="3" borderId="7" xfId="1" applyNumberFormat="1" applyFont="1" applyFill="1" applyBorder="1" applyAlignment="1">
      <alignment horizontal="right"/>
    </xf>
    <xf numFmtId="169" fontId="4" fillId="5" borderId="18" xfId="1" applyNumberFormat="1" applyFont="1" applyFill="1" applyBorder="1" applyAlignment="1">
      <alignment horizontal="right"/>
    </xf>
    <xf numFmtId="169" fontId="3" fillId="3" borderId="7" xfId="0" applyNumberFormat="1" applyFont="1" applyFill="1" applyBorder="1" applyAlignment="1">
      <alignment horizontal="right"/>
    </xf>
    <xf numFmtId="169" fontId="3" fillId="5" borderId="15" xfId="0" applyNumberFormat="1" applyFont="1" applyFill="1" applyBorder="1" applyAlignment="1">
      <alignment horizontal="right"/>
    </xf>
    <xf numFmtId="169" fontId="4" fillId="5" borderId="15" xfId="1" applyNumberFormat="1" applyFont="1" applyFill="1" applyBorder="1" applyAlignment="1">
      <alignment horizontal="right"/>
    </xf>
    <xf numFmtId="169" fontId="3" fillId="48" borderId="0" xfId="1" applyNumberFormat="1" applyFont="1" applyFill="1" applyBorder="1"/>
    <xf numFmtId="169" fontId="4" fillId="48" borderId="12" xfId="1" applyNumberFormat="1" applyFont="1" applyFill="1" applyBorder="1"/>
    <xf numFmtId="169" fontId="4" fillId="48" borderId="13" xfId="1" applyNumberFormat="1" applyFont="1" applyFill="1" applyBorder="1"/>
    <xf numFmtId="169" fontId="4" fillId="48" borderId="14" xfId="0" applyNumberFormat="1" applyFont="1" applyFill="1" applyBorder="1"/>
    <xf numFmtId="0" fontId="4" fillId="3" borderId="25" xfId="0" applyFont="1" applyFill="1" applyBorder="1"/>
    <xf numFmtId="0" fontId="0" fillId="0" borderId="0" xfId="0" applyFill="1"/>
    <xf numFmtId="176" fontId="5" fillId="3" borderId="9" xfId="2" applyNumberFormat="1" applyFont="1" applyFill="1" applyBorder="1"/>
    <xf numFmtId="0" fontId="3" fillId="3" borderId="0" xfId="0" applyFont="1" applyFill="1" applyAlignment="1">
      <alignment horizontal="left" indent="1"/>
    </xf>
    <xf numFmtId="180" fontId="5" fillId="0" borderId="7" xfId="3" applyNumberFormat="1" applyFont="1" applyFill="1" applyBorder="1"/>
    <xf numFmtId="10" fontId="5" fillId="0" borderId="7" xfId="2" applyNumberFormat="1" applyFont="1" applyFill="1" applyBorder="1"/>
    <xf numFmtId="179" fontId="5" fillId="0" borderId="7" xfId="1" applyNumberFormat="1" applyFont="1" applyFill="1" applyBorder="1"/>
    <xf numFmtId="167" fontId="5" fillId="3" borderId="7" xfId="2" applyNumberFormat="1" applyFont="1" applyFill="1" applyBorder="1"/>
    <xf numFmtId="0" fontId="74" fillId="3" borderId="6" xfId="0" applyFont="1" applyFill="1" applyBorder="1" applyAlignment="1">
      <alignment horizontal="left" indent="1"/>
    </xf>
    <xf numFmtId="0" fontId="74" fillId="3" borderId="0" xfId="0" applyFont="1" applyFill="1" applyBorder="1" applyAlignment="1">
      <alignment horizontal="left" indent="1"/>
    </xf>
    <xf numFmtId="0" fontId="74" fillId="3" borderId="0" xfId="0" applyFont="1" applyFill="1" applyAlignment="1">
      <alignment horizontal="left" indent="1"/>
    </xf>
    <xf numFmtId="168" fontId="6" fillId="0" borderId="11" xfId="3" applyNumberFormat="1" applyFont="1" applyFill="1" applyBorder="1" applyAlignment="1">
      <alignment horizontal="right"/>
    </xf>
    <xf numFmtId="168" fontId="6" fillId="0" borderId="10" xfId="3" applyNumberFormat="1" applyFont="1" applyFill="1" applyBorder="1" applyAlignment="1">
      <alignment horizontal="right"/>
    </xf>
    <xf numFmtId="168" fontId="6" fillId="0" borderId="16" xfId="3" applyNumberFormat="1" applyFont="1" applyFill="1" applyBorder="1" applyAlignment="1">
      <alignment horizontal="right"/>
    </xf>
    <xf numFmtId="0" fontId="4" fillId="4" borderId="28" xfId="0" applyFont="1" applyFill="1" applyBorder="1" applyAlignment="1">
      <alignment vertical="center"/>
    </xf>
    <xf numFmtId="0" fontId="4" fillId="4" borderId="17" xfId="0" applyFont="1" applyFill="1" applyBorder="1" applyAlignment="1">
      <alignment horizontal="center" vertical="center"/>
    </xf>
    <xf numFmtId="0" fontId="4" fillId="4" borderId="28" xfId="0" applyFont="1" applyFill="1" applyBorder="1"/>
    <xf numFmtId="0" fontId="17" fillId="4" borderId="17" xfId="0" applyFont="1" applyFill="1" applyBorder="1" applyAlignment="1">
      <alignment horizontal="center"/>
    </xf>
    <xf numFmtId="176" fontId="5" fillId="3" borderId="7" xfId="2" applyNumberFormat="1" applyFont="1" applyFill="1" applyBorder="1"/>
    <xf numFmtId="0" fontId="7" fillId="4" borderId="28" xfId="0" applyFont="1" applyFill="1" applyBorder="1"/>
    <xf numFmtId="0" fontId="4" fillId="4" borderId="17" xfId="0" applyFont="1" applyFill="1" applyBorder="1" applyAlignment="1">
      <alignment horizontal="center"/>
    </xf>
    <xf numFmtId="168" fontId="5" fillId="0" borderId="11" xfId="3" applyNumberFormat="1" applyFont="1" applyFill="1" applyBorder="1"/>
    <xf numFmtId="168" fontId="5" fillId="0" borderId="10" xfId="3" applyNumberFormat="1" applyFont="1" applyFill="1" applyBorder="1"/>
    <xf numFmtId="168" fontId="5" fillId="0" borderId="16" xfId="3" applyNumberFormat="1" applyFont="1" applyFill="1" applyBorder="1"/>
    <xf numFmtId="0" fontId="3" fillId="3" borderId="37" xfId="0" applyFont="1" applyFill="1" applyBorder="1"/>
    <xf numFmtId="0" fontId="9" fillId="6" borderId="75" xfId="7" applyFont="1" applyFill="1" applyBorder="1" applyAlignment="1" applyProtection="1">
      <alignment horizontal="centerContinuous" vertical="center" wrapText="1"/>
    </xf>
    <xf numFmtId="0" fontId="3" fillId="4" borderId="76" xfId="0" applyFont="1" applyFill="1" applyBorder="1" applyAlignment="1">
      <alignment horizontal="center"/>
    </xf>
    <xf numFmtId="166" fontId="6" fillId="3" borderId="77" xfId="1" applyNumberFormat="1" applyFont="1" applyFill="1" applyBorder="1"/>
    <xf numFmtId="167" fontId="6" fillId="3" borderId="77" xfId="2" applyNumberFormat="1" applyFont="1" applyFill="1" applyBorder="1"/>
    <xf numFmtId="10" fontId="6" fillId="3" borderId="77" xfId="1" applyNumberFormat="1" applyFont="1" applyFill="1" applyBorder="1"/>
    <xf numFmtId="0" fontId="4" fillId="5" borderId="71" xfId="0" applyFont="1" applyFill="1" applyBorder="1"/>
    <xf numFmtId="9" fontId="6" fillId="3" borderId="77" xfId="1" applyNumberFormat="1" applyFont="1" applyFill="1" applyBorder="1"/>
    <xf numFmtId="0" fontId="4" fillId="5" borderId="73" xfId="0" applyFont="1" applyFill="1" applyBorder="1" applyAlignment="1">
      <alignment horizontal="left"/>
    </xf>
    <xf numFmtId="167" fontId="6" fillId="3" borderId="77" xfId="1" applyNumberFormat="1" applyFont="1" applyFill="1" applyBorder="1"/>
    <xf numFmtId="0" fontId="4" fillId="5" borderId="79" xfId="0" applyFont="1" applyFill="1" applyBorder="1" applyAlignment="1">
      <alignment horizontal="left"/>
    </xf>
    <xf numFmtId="0" fontId="3" fillId="4" borderId="81" xfId="0" applyFont="1" applyFill="1" applyBorder="1" applyAlignment="1">
      <alignment horizontal="center"/>
    </xf>
    <xf numFmtId="0" fontId="3" fillId="3" borderId="70" xfId="0" applyFont="1" applyFill="1" applyBorder="1" applyAlignment="1">
      <alignment horizontal="left" indent="2"/>
    </xf>
    <xf numFmtId="9" fontId="6" fillId="3" borderId="81" xfId="2" applyFont="1" applyFill="1" applyBorder="1"/>
    <xf numFmtId="0" fontId="3" fillId="3" borderId="71" xfId="0" applyFont="1" applyFill="1" applyBorder="1"/>
    <xf numFmtId="0" fontId="4" fillId="5" borderId="38" xfId="0" applyFont="1" applyFill="1" applyBorder="1"/>
    <xf numFmtId="0" fontId="3" fillId="4" borderId="73" xfId="0" applyFont="1" applyFill="1" applyBorder="1" applyAlignment="1">
      <alignment wrapText="1"/>
    </xf>
    <xf numFmtId="0" fontId="74" fillId="0" borderId="0" xfId="0" applyFont="1" applyFill="1" applyAlignment="1">
      <alignment horizontal="left" indent="1"/>
    </xf>
    <xf numFmtId="179" fontId="6" fillId="3" borderId="5" xfId="1" applyNumberFormat="1" applyFont="1" applyFill="1" applyBorder="1"/>
    <xf numFmtId="0" fontId="0" fillId="0" borderId="0" xfId="0" applyAlignment="1">
      <alignment horizontal="left"/>
    </xf>
    <xf numFmtId="0" fontId="0" fillId="0" borderId="0" xfId="0" applyAlignment="1">
      <alignment horizontal="left" indent="1"/>
    </xf>
    <xf numFmtId="0" fontId="3" fillId="4" borderId="83" xfId="0" applyFont="1" applyFill="1" applyBorder="1" applyAlignment="1">
      <alignment horizontal="center" vertical="center" wrapText="1"/>
    </xf>
    <xf numFmtId="179" fontId="6" fillId="3" borderId="22" xfId="1" applyNumberFormat="1" applyFont="1" applyFill="1" applyBorder="1"/>
    <xf numFmtId="3" fontId="3" fillId="0" borderId="0" xfId="0" applyNumberFormat="1" applyFont="1" applyFill="1"/>
    <xf numFmtId="167" fontId="3" fillId="3" borderId="7" xfId="1" applyNumberFormat="1" applyFont="1" applyFill="1" applyBorder="1"/>
    <xf numFmtId="167" fontId="4" fillId="5" borderId="18" xfId="1" applyNumberFormat="1" applyFont="1" applyFill="1" applyBorder="1"/>
    <xf numFmtId="167" fontId="3" fillId="3" borderId="7" xfId="0" applyNumberFormat="1" applyFont="1" applyFill="1" applyBorder="1"/>
    <xf numFmtId="167" fontId="3" fillId="5" borderId="15" xfId="0" applyNumberFormat="1" applyFont="1" applyFill="1" applyBorder="1"/>
    <xf numFmtId="167" fontId="4" fillId="5" borderId="15" xfId="1" applyNumberFormat="1" applyFont="1" applyFill="1" applyBorder="1"/>
    <xf numFmtId="167" fontId="4" fillId="5" borderId="17" xfId="0" applyNumberFormat="1" applyFont="1" applyFill="1" applyBorder="1"/>
    <xf numFmtId="0" fontId="74" fillId="3" borderId="0" xfId="0" applyFont="1" applyFill="1" applyBorder="1" applyAlignment="1">
      <alignment horizontal="left" indent="1"/>
    </xf>
    <xf numFmtId="0" fontId="4" fillId="0" borderId="0" xfId="0" applyFont="1" applyFill="1" applyBorder="1"/>
    <xf numFmtId="166" fontId="7" fillId="0" borderId="0" xfId="1" applyNumberFormat="1" applyFont="1" applyFill="1" applyBorder="1"/>
    <xf numFmtId="167" fontId="3" fillId="3" borderId="22" xfId="2" applyNumberFormat="1" applyFont="1" applyFill="1" applyBorder="1" applyAlignment="1">
      <alignment horizontal="center"/>
    </xf>
    <xf numFmtId="0" fontId="3" fillId="0" borderId="37" xfId="0" applyFont="1" applyFill="1" applyBorder="1"/>
    <xf numFmtId="0" fontId="3" fillId="3" borderId="38" xfId="0" applyFont="1" applyFill="1" applyBorder="1"/>
    <xf numFmtId="0" fontId="74" fillId="3" borderId="0" xfId="0" applyFont="1" applyFill="1" applyBorder="1" applyAlignment="1">
      <alignment horizontal="left" indent="1"/>
    </xf>
    <xf numFmtId="0" fontId="74" fillId="0" borderId="0" xfId="0" applyFont="1" applyFill="1" applyBorder="1" applyAlignment="1"/>
    <xf numFmtId="0" fontId="76" fillId="3" borderId="0" xfId="0" applyFont="1" applyFill="1" applyBorder="1" applyAlignment="1">
      <alignment horizontal="center"/>
    </xf>
    <xf numFmtId="167" fontId="76" fillId="3" borderId="0" xfId="2" applyNumberFormat="1" applyFont="1" applyFill="1" applyBorder="1" applyAlignment="1">
      <alignment horizontal="center"/>
    </xf>
    <xf numFmtId="9" fontId="76" fillId="3" borderId="0" xfId="2" applyFont="1" applyFill="1" applyBorder="1" applyAlignment="1">
      <alignment horizontal="center"/>
    </xf>
    <xf numFmtId="0" fontId="4" fillId="5" borderId="79" xfId="0" applyFont="1" applyFill="1" applyBorder="1"/>
    <xf numFmtId="181" fontId="6" fillId="0" borderId="0" xfId="1" applyNumberFormat="1" applyFont="1" applyFill="1" applyBorder="1"/>
    <xf numFmtId="179" fontId="6" fillId="3" borderId="84" xfId="1" applyNumberFormat="1" applyFont="1" applyFill="1" applyBorder="1"/>
    <xf numFmtId="0" fontId="4" fillId="4" borderId="39" xfId="0" applyFont="1" applyFill="1" applyBorder="1"/>
    <xf numFmtId="166" fontId="7" fillId="4" borderId="85" xfId="1" applyNumberFormat="1" applyFont="1" applyFill="1" applyBorder="1"/>
    <xf numFmtId="167" fontId="3" fillId="0" borderId="0" xfId="2" applyNumberFormat="1" applyFont="1" applyFill="1"/>
    <xf numFmtId="164" fontId="3" fillId="0" borderId="0" xfId="1" applyFont="1" applyFill="1"/>
    <xf numFmtId="179" fontId="3" fillId="0" borderId="0" xfId="0" applyNumberFormat="1" applyFont="1" applyFill="1"/>
    <xf numFmtId="0" fontId="3" fillId="0" borderId="0" xfId="0" applyFont="1" applyFill="1" applyAlignment="1">
      <alignment vertical="top" wrapText="1"/>
    </xf>
    <xf numFmtId="0" fontId="3" fillId="3" borderId="6" xfId="0" applyFont="1" applyFill="1" applyBorder="1" applyAlignment="1">
      <alignment horizontal="left" indent="1"/>
    </xf>
    <xf numFmtId="0" fontId="3" fillId="3" borderId="8" xfId="0" applyFont="1" applyFill="1" applyBorder="1" applyAlignment="1">
      <alignment horizontal="left" indent="1"/>
    </xf>
    <xf numFmtId="0" fontId="3" fillId="3" borderId="6" xfId="0" applyFont="1" applyFill="1" applyBorder="1" applyAlignment="1">
      <alignment horizontal="left" wrapText="1" indent="1"/>
    </xf>
    <xf numFmtId="0" fontId="6" fillId="3" borderId="8" xfId="0" applyFont="1" applyFill="1" applyBorder="1" applyAlignment="1">
      <alignment horizontal="left" indent="1"/>
    </xf>
    <xf numFmtId="0" fontId="6" fillId="3" borderId="6" xfId="0" applyFont="1" applyFill="1" applyBorder="1" applyAlignment="1">
      <alignment horizontal="left" wrapText="1" indent="1"/>
    </xf>
    <xf numFmtId="0" fontId="6" fillId="3" borderId="8" xfId="0" applyFont="1" applyFill="1" applyBorder="1" applyAlignment="1">
      <alignment horizontal="left" wrapText="1" indent="1"/>
    </xf>
    <xf numFmtId="0" fontId="4" fillId="0" borderId="6" xfId="0" applyFont="1" applyFill="1" applyBorder="1"/>
    <xf numFmtId="166" fontId="7" fillId="0" borderId="7" xfId="1" applyNumberFormat="1" applyFont="1" applyFill="1" applyBorder="1"/>
    <xf numFmtId="0" fontId="3" fillId="0" borderId="6" xfId="0" applyFont="1" applyFill="1" applyBorder="1" applyAlignment="1">
      <alignment horizontal="left" indent="1"/>
    </xf>
    <xf numFmtId="166" fontId="6" fillId="3" borderId="82" xfId="1" applyNumberFormat="1" applyFont="1" applyFill="1" applyBorder="1"/>
    <xf numFmtId="180" fontId="5" fillId="0" borderId="9" xfId="3" applyNumberFormat="1" applyFont="1" applyFill="1" applyBorder="1"/>
    <xf numFmtId="179" fontId="6" fillId="3" borderId="77" xfId="1" applyNumberFormat="1" applyFont="1" applyFill="1" applyBorder="1"/>
    <xf numFmtId="179" fontId="6" fillId="3" borderId="78" xfId="1" applyNumberFormat="1" applyFont="1" applyFill="1" applyBorder="1"/>
    <xf numFmtId="179" fontId="7" fillId="5" borderId="78" xfId="1" applyNumberFormat="1" applyFont="1" applyFill="1" applyBorder="1"/>
    <xf numFmtId="179" fontId="7" fillId="5" borderId="76" xfId="1" applyNumberFormat="1" applyFont="1" applyFill="1" applyBorder="1"/>
    <xf numFmtId="179" fontId="7" fillId="5" borderId="80" xfId="1" applyNumberFormat="1" applyFont="1" applyFill="1" applyBorder="1"/>
    <xf numFmtId="179" fontId="6" fillId="3" borderId="81" xfId="1" applyNumberFormat="1" applyFont="1" applyFill="1" applyBorder="1"/>
    <xf numFmtId="179" fontId="7" fillId="5" borderId="82" xfId="1" applyNumberFormat="1" applyFont="1" applyFill="1" applyBorder="1"/>
    <xf numFmtId="0" fontId="0" fillId="0" borderId="0" xfId="0" applyNumberFormat="1"/>
    <xf numFmtId="0" fontId="77" fillId="3" borderId="2" xfId="0" applyFont="1" applyFill="1" applyBorder="1"/>
    <xf numFmtId="0" fontId="3" fillId="0" borderId="0" xfId="0" applyFont="1" applyBorder="1" applyAlignment="1">
      <alignment vertical="top" wrapText="1"/>
    </xf>
    <xf numFmtId="167" fontId="0" fillId="0" borderId="0" xfId="2" applyNumberFormat="1" applyFont="1"/>
    <xf numFmtId="0" fontId="3" fillId="3" borderId="0" xfId="0" applyFont="1" applyFill="1" applyAlignment="1">
      <alignment horizontal="center"/>
    </xf>
    <xf numFmtId="1" fontId="3" fillId="3" borderId="0" xfId="0" applyNumberFormat="1" applyFont="1" applyFill="1" applyAlignment="1">
      <alignment horizontal="center"/>
    </xf>
    <xf numFmtId="0" fontId="3" fillId="3" borderId="0" xfId="0" applyNumberFormat="1" applyFont="1" applyFill="1" applyBorder="1" applyAlignment="1">
      <alignment horizontal="right" indent="1"/>
    </xf>
    <xf numFmtId="167" fontId="3" fillId="3" borderId="0" xfId="2" applyNumberFormat="1" applyFont="1" applyFill="1" applyBorder="1" applyAlignment="1">
      <alignment horizontal="right" indent="1"/>
    </xf>
    <xf numFmtId="0" fontId="0" fillId="0" borderId="0" xfId="0" applyAlignment="1">
      <alignment horizontal="left" indent="2"/>
    </xf>
    <xf numFmtId="10" fontId="5" fillId="0" borderId="7" xfId="0" applyNumberFormat="1" applyFont="1" applyFill="1" applyBorder="1"/>
    <xf numFmtId="0" fontId="74" fillId="0" borderId="0" xfId="0" applyFont="1" applyFill="1"/>
    <xf numFmtId="5" fontId="3" fillId="3" borderId="0" xfId="1" applyNumberFormat="1" applyFont="1" applyFill="1" applyBorder="1" applyAlignment="1">
      <alignment horizontal="right"/>
    </xf>
    <xf numFmtId="7" fontId="0" fillId="0" borderId="0" xfId="0" applyNumberFormat="1"/>
    <xf numFmtId="168" fontId="3" fillId="3" borderId="0" xfId="0" applyNumberFormat="1" applyFont="1" applyFill="1"/>
    <xf numFmtId="44" fontId="0" fillId="0" borderId="0" xfId="0" applyNumberFormat="1"/>
    <xf numFmtId="9" fontId="0" fillId="0" borderId="0" xfId="0" applyNumberFormat="1"/>
    <xf numFmtId="183" fontId="0" fillId="0" borderId="0" xfId="0" applyNumberFormat="1"/>
    <xf numFmtId="9" fontId="0" fillId="0" borderId="0" xfId="2" applyFont="1"/>
    <xf numFmtId="168" fontId="0" fillId="0" borderId="0" xfId="0" applyNumberFormat="1"/>
    <xf numFmtId="3" fontId="4" fillId="5" borderId="12" xfId="0" applyNumberFormat="1" applyFont="1" applyFill="1" applyBorder="1"/>
    <xf numFmtId="9" fontId="4" fillId="5" borderId="12" xfId="2" applyNumberFormat="1" applyFont="1" applyFill="1" applyBorder="1"/>
    <xf numFmtId="0" fontId="78" fillId="0" borderId="0" xfId="0" applyFont="1"/>
    <xf numFmtId="171" fontId="0" fillId="0" borderId="0" xfId="0" applyNumberFormat="1"/>
    <xf numFmtId="0" fontId="0" fillId="0" borderId="0" xfId="0" applyAlignment="1">
      <alignment wrapText="1"/>
    </xf>
    <xf numFmtId="0" fontId="74" fillId="3" borderId="0" xfId="0" applyFont="1" applyFill="1" applyBorder="1" applyAlignment="1">
      <alignment horizontal="left" indent="1"/>
    </xf>
    <xf numFmtId="0" fontId="0" fillId="0" borderId="26" xfId="0" applyBorder="1"/>
    <xf numFmtId="0" fontId="0" fillId="0" borderId="0" xfId="0" applyFill="1" applyBorder="1"/>
    <xf numFmtId="0" fontId="8" fillId="0" borderId="0" xfId="0" applyFont="1" applyFill="1" applyBorder="1" applyAlignment="1">
      <alignment horizontal="left" indent="1"/>
    </xf>
    <xf numFmtId="0" fontId="78" fillId="0" borderId="26" xfId="0" applyFont="1" applyBorder="1"/>
    <xf numFmtId="0" fontId="78" fillId="49" borderId="26" xfId="0" applyFont="1" applyFill="1" applyBorder="1"/>
    <xf numFmtId="3" fontId="0" fillId="0" borderId="26" xfId="0" applyNumberFormat="1" applyBorder="1"/>
    <xf numFmtId="167" fontId="0" fillId="0" borderId="26" xfId="2" applyNumberFormat="1" applyFont="1" applyBorder="1"/>
    <xf numFmtId="3" fontId="78" fillId="0" borderId="0" xfId="0" applyNumberFormat="1" applyFont="1"/>
    <xf numFmtId="167" fontId="78" fillId="0" borderId="0" xfId="2" applyNumberFormat="1" applyFont="1"/>
    <xf numFmtId="166" fontId="6" fillId="3" borderId="0" xfId="1" applyNumberFormat="1" applyFont="1" applyFill="1" applyBorder="1"/>
    <xf numFmtId="0" fontId="74" fillId="0" borderId="0" xfId="0" applyFont="1" applyFill="1" applyBorder="1" applyAlignment="1">
      <alignment horizontal="left" indent="1"/>
    </xf>
    <xf numFmtId="9" fontId="5" fillId="0" borderId="7" xfId="0" applyNumberFormat="1" applyFont="1" applyFill="1" applyBorder="1"/>
    <xf numFmtId="0" fontId="4" fillId="4" borderId="4" xfId="0" applyFont="1" applyFill="1" applyBorder="1"/>
    <xf numFmtId="0" fontId="17" fillId="4" borderId="5" xfId="0" applyFont="1" applyFill="1" applyBorder="1" applyAlignment="1">
      <alignment horizontal="center"/>
    </xf>
    <xf numFmtId="0" fontId="3" fillId="3" borderId="4" xfId="0" applyFont="1" applyFill="1" applyBorder="1" applyAlignment="1">
      <alignment horizontal="left" indent="1"/>
    </xf>
    <xf numFmtId="180" fontId="5" fillId="0" borderId="5" xfId="3" applyNumberFormat="1" applyFont="1" applyFill="1" applyBorder="1"/>
    <xf numFmtId="0" fontId="4" fillId="5" borderId="32" xfId="0" applyFont="1" applyFill="1" applyBorder="1"/>
    <xf numFmtId="184" fontId="7" fillId="5" borderId="33" xfId="1" applyNumberFormat="1" applyFont="1" applyFill="1" applyBorder="1"/>
    <xf numFmtId="184" fontId="6" fillId="3" borderId="77" xfId="1" applyNumberFormat="1" applyFont="1" applyFill="1" applyBorder="1"/>
    <xf numFmtId="5" fontId="3" fillId="3" borderId="0" xfId="1" applyNumberFormat="1" applyFont="1" applyFill="1" applyBorder="1"/>
    <xf numFmtId="0" fontId="74" fillId="3" borderId="0" xfId="0" applyFont="1" applyFill="1" applyBorder="1" applyAlignment="1">
      <alignment horizontal="left" indent="1"/>
    </xf>
    <xf numFmtId="184" fontId="3" fillId="12" borderId="0" xfId="1" applyNumberFormat="1" applyFont="1" applyFill="1" applyBorder="1"/>
    <xf numFmtId="184" fontId="3" fillId="13" borderId="0" xfId="1" applyNumberFormat="1" applyFont="1" applyFill="1"/>
    <xf numFmtId="184" fontId="3" fillId="15" borderId="0" xfId="1" applyNumberFormat="1" applyFont="1" applyFill="1" applyBorder="1"/>
    <xf numFmtId="184" fontId="3" fillId="3" borderId="0" xfId="1" applyNumberFormat="1" applyFont="1" applyFill="1" applyBorder="1"/>
    <xf numFmtId="184" fontId="3" fillId="17" borderId="0" xfId="1" applyNumberFormat="1" applyFont="1" applyFill="1" applyBorder="1"/>
    <xf numFmtId="184" fontId="4" fillId="5" borderId="13" xfId="1" applyNumberFormat="1" applyFont="1" applyFill="1" applyBorder="1"/>
    <xf numFmtId="184" fontId="4" fillId="5" borderId="2" xfId="1" applyNumberFormat="1" applyFont="1" applyFill="1" applyBorder="1"/>
    <xf numFmtId="184" fontId="4" fillId="5" borderId="14" xfId="1" applyNumberFormat="1" applyFont="1" applyFill="1" applyBorder="1"/>
    <xf numFmtId="167" fontId="3" fillId="13" borderId="22" xfId="2" applyNumberFormat="1" applyFont="1" applyFill="1" applyBorder="1"/>
    <xf numFmtId="167" fontId="3" fillId="13" borderId="0" xfId="2" applyNumberFormat="1" applyFont="1" applyFill="1" applyBorder="1"/>
    <xf numFmtId="167" fontId="3" fillId="13" borderId="26" xfId="2" applyNumberFormat="1" applyFont="1" applyFill="1" applyBorder="1"/>
    <xf numFmtId="167" fontId="4" fillId="14" borderId="13" xfId="2" applyNumberFormat="1" applyFont="1" applyFill="1" applyBorder="1"/>
    <xf numFmtId="0" fontId="15" fillId="3" borderId="2" xfId="0" applyFont="1" applyFill="1" applyBorder="1"/>
    <xf numFmtId="0" fontId="4" fillId="3" borderId="38" xfId="0" applyFont="1" applyFill="1" applyBorder="1"/>
    <xf numFmtId="167" fontId="4" fillId="3" borderId="2" xfId="0" applyNumberFormat="1" applyFont="1" applyFill="1" applyBorder="1" applyAlignment="1">
      <alignment horizontal="center"/>
    </xf>
    <xf numFmtId="179" fontId="7" fillId="3" borderId="2" xfId="1" applyNumberFormat="1" applyFont="1" applyFill="1" applyBorder="1"/>
    <xf numFmtId="179" fontId="7" fillId="3" borderId="87" xfId="1" applyNumberFormat="1" applyFont="1" applyFill="1" applyBorder="1"/>
    <xf numFmtId="0" fontId="3" fillId="3" borderId="88" xfId="0" applyFont="1" applyFill="1" applyBorder="1"/>
    <xf numFmtId="167" fontId="3" fillId="3" borderId="86" xfId="2" applyNumberFormat="1" applyFont="1" applyFill="1" applyBorder="1" applyAlignment="1">
      <alignment horizontal="center"/>
    </xf>
    <xf numFmtId="179" fontId="6" fillId="3" borderId="86" xfId="1" applyNumberFormat="1" applyFont="1" applyFill="1" applyBorder="1"/>
    <xf numFmtId="179" fontId="6" fillId="3" borderId="40" xfId="1" applyNumberFormat="1" applyFont="1" applyFill="1" applyBorder="1"/>
    <xf numFmtId="179" fontId="6" fillId="3" borderId="89" xfId="1" applyNumberFormat="1" applyFont="1" applyFill="1" applyBorder="1"/>
    <xf numFmtId="0" fontId="74" fillId="3" borderId="0" xfId="0" applyFont="1" applyFill="1" applyBorder="1" applyAlignment="1"/>
    <xf numFmtId="0" fontId="75" fillId="0" borderId="0" xfId="1247" applyFill="1" applyBorder="1" applyAlignment="1">
      <alignment horizontal="left" indent="1"/>
    </xf>
    <xf numFmtId="166" fontId="5" fillId="0" borderId="0" xfId="1" applyNumberFormat="1" applyFont="1" applyBorder="1"/>
    <xf numFmtId="184" fontId="5" fillId="0" borderId="0" xfId="1" applyNumberFormat="1" applyFont="1" applyBorder="1"/>
    <xf numFmtId="0" fontId="4" fillId="4" borderId="4" xfId="0" applyFont="1" applyFill="1" applyBorder="1" applyAlignment="1">
      <alignment vertical="center"/>
    </xf>
    <xf numFmtId="0" fontId="3" fillId="0" borderId="90" xfId="0" applyFont="1" applyBorder="1"/>
    <xf numFmtId="166" fontId="5" fillId="0" borderId="91" xfId="1" applyNumberFormat="1" applyFont="1" applyBorder="1"/>
    <xf numFmtId="184" fontId="5" fillId="0" borderId="91" xfId="1" applyNumberFormat="1" applyFont="1" applyBorder="1"/>
    <xf numFmtId="184" fontId="5" fillId="0" borderId="92" xfId="1" applyNumberFormat="1" applyFont="1" applyBorder="1"/>
    <xf numFmtId="0" fontId="3" fillId="0" borderId="6" xfId="0" applyFont="1" applyBorder="1"/>
    <xf numFmtId="184" fontId="5" fillId="0" borderId="7" xfId="1" applyNumberFormat="1" applyFont="1" applyBorder="1"/>
    <xf numFmtId="0" fontId="3" fillId="0" borderId="8" xfId="0" applyFont="1" applyBorder="1"/>
    <xf numFmtId="166" fontId="5" fillId="0" borderId="26" xfId="1" applyNumberFormat="1" applyFont="1" applyBorder="1"/>
    <xf numFmtId="184" fontId="5" fillId="0" borderId="26" xfId="1" applyNumberFormat="1" applyFont="1" applyBorder="1"/>
    <xf numFmtId="184" fontId="5" fillId="0" borderId="9" xfId="1" applyNumberFormat="1" applyFont="1" applyBorder="1"/>
    <xf numFmtId="0" fontId="3" fillId="0" borderId="2" xfId="0" applyFont="1" applyFill="1" applyBorder="1"/>
    <xf numFmtId="184" fontId="4" fillId="14" borderId="13" xfId="1" applyNumberFormat="1" applyFont="1" applyFill="1" applyBorder="1"/>
    <xf numFmtId="0" fontId="4" fillId="4" borderId="3" xfId="0" applyFont="1" applyFill="1" applyBorder="1" applyAlignment="1">
      <alignment horizontal="center" vertical="center" wrapText="1"/>
    </xf>
    <xf numFmtId="169" fontId="3" fillId="5" borderId="3" xfId="0" applyNumberFormat="1" applyFont="1" applyFill="1" applyBorder="1"/>
    <xf numFmtId="170" fontId="3" fillId="47" borderId="10" xfId="1" applyNumberFormat="1" applyFont="1" applyFill="1" applyBorder="1"/>
    <xf numFmtId="170" fontId="3" fillId="3" borderId="94" xfId="0" applyNumberFormat="1" applyFont="1" applyFill="1" applyBorder="1"/>
    <xf numFmtId="170" fontId="3" fillId="5" borderId="3" xfId="0" applyNumberFormat="1" applyFont="1" applyFill="1" applyBorder="1"/>
    <xf numFmtId="170" fontId="3" fillId="3" borderId="10" xfId="0" applyNumberFormat="1" applyFont="1" applyFill="1" applyBorder="1"/>
    <xf numFmtId="170" fontId="4" fillId="47" borderId="25" xfId="0" applyNumberFormat="1" applyFont="1" applyFill="1" applyBorder="1"/>
    <xf numFmtId="170" fontId="4" fillId="47" borderId="3" xfId="1" applyNumberFormat="1" applyFont="1" applyFill="1" applyBorder="1"/>
    <xf numFmtId="170" fontId="4" fillId="47" borderId="95" xfId="1" applyNumberFormat="1" applyFont="1" applyFill="1" applyBorder="1"/>
    <xf numFmtId="168" fontId="4" fillId="5" borderId="30" xfId="3" applyNumberFormat="1" applyFont="1" applyFill="1" applyBorder="1"/>
    <xf numFmtId="168" fontId="4" fillId="5" borderId="24" xfId="3" applyNumberFormat="1" applyFont="1" applyFill="1" applyBorder="1"/>
    <xf numFmtId="0" fontId="3" fillId="3" borderId="97" xfId="0" applyFont="1" applyFill="1" applyBorder="1"/>
    <xf numFmtId="0" fontId="3" fillId="3" borderId="86" xfId="0" applyFont="1" applyFill="1" applyBorder="1"/>
    <xf numFmtId="168" fontId="3" fillId="3" borderId="97" xfId="3" applyNumberFormat="1" applyFont="1" applyFill="1" applyBorder="1"/>
    <xf numFmtId="168" fontId="3" fillId="3" borderId="86" xfId="3" applyNumberFormat="1" applyFont="1" applyFill="1" applyBorder="1"/>
    <xf numFmtId="168" fontId="3" fillId="3" borderId="40" xfId="3" applyNumberFormat="1" applyFont="1" applyFill="1" applyBorder="1"/>
    <xf numFmtId="170" fontId="3" fillId="47" borderId="96" xfId="1" applyNumberFormat="1" applyFont="1" applyFill="1" applyBorder="1"/>
    <xf numFmtId="168" fontId="4" fillId="5" borderId="2" xfId="0" applyNumberFormat="1" applyFont="1" applyFill="1" applyBorder="1"/>
    <xf numFmtId="168" fontId="4" fillId="5" borderId="24" xfId="0" applyNumberFormat="1" applyFont="1" applyFill="1" applyBorder="1"/>
    <xf numFmtId="168" fontId="4" fillId="5" borderId="17" xfId="3" applyNumberFormat="1" applyFont="1" applyFill="1" applyBorder="1"/>
    <xf numFmtId="170" fontId="4" fillId="47" borderId="25" xfId="1" applyNumberFormat="1" applyFont="1" applyFill="1" applyBorder="1"/>
    <xf numFmtId="0" fontId="3" fillId="3" borderId="99" xfId="0" applyFont="1" applyFill="1" applyBorder="1"/>
    <xf numFmtId="168" fontId="3" fillId="3" borderId="100" xfId="3" applyNumberFormat="1" applyFont="1" applyFill="1" applyBorder="1"/>
    <xf numFmtId="168" fontId="3" fillId="3" borderId="99" xfId="3" applyNumberFormat="1" applyFont="1" applyFill="1" applyBorder="1"/>
    <xf numFmtId="168" fontId="3" fillId="3" borderId="98" xfId="3" applyNumberFormat="1" applyFont="1" applyFill="1" applyBorder="1"/>
    <xf numFmtId="184" fontId="3" fillId="12" borderId="99" xfId="1" applyNumberFormat="1" applyFont="1" applyFill="1" applyBorder="1"/>
    <xf numFmtId="184" fontId="3" fillId="13" borderId="99" xfId="1" applyNumberFormat="1" applyFont="1" applyFill="1" applyBorder="1"/>
    <xf numFmtId="184" fontId="3" fillId="15" borderId="99" xfId="1" applyNumberFormat="1" applyFont="1" applyFill="1" applyBorder="1"/>
    <xf numFmtId="184" fontId="3" fillId="17" borderId="99" xfId="1" applyNumberFormat="1" applyFont="1" applyFill="1" applyBorder="1"/>
    <xf numFmtId="170" fontId="3" fillId="47" borderId="101" xfId="1" applyNumberFormat="1" applyFont="1" applyFill="1" applyBorder="1"/>
    <xf numFmtId="0" fontId="3" fillId="3" borderId="108" xfId="0" applyFont="1" applyFill="1" applyBorder="1"/>
    <xf numFmtId="168" fontId="3" fillId="3" borderId="109" xfId="3" applyNumberFormat="1" applyFont="1" applyFill="1" applyBorder="1"/>
    <xf numFmtId="168" fontId="3" fillId="3" borderId="108" xfId="3" applyNumberFormat="1" applyFont="1" applyFill="1" applyBorder="1"/>
    <xf numFmtId="168" fontId="3" fillId="3" borderId="107" xfId="3" applyNumberFormat="1" applyFont="1" applyFill="1" applyBorder="1"/>
    <xf numFmtId="170" fontId="3" fillId="47" borderId="110" xfId="1" applyNumberFormat="1" applyFont="1" applyFill="1" applyBorder="1"/>
    <xf numFmtId="184" fontId="3" fillId="3" borderId="109" xfId="1" applyNumberFormat="1" applyFont="1" applyFill="1" applyBorder="1"/>
    <xf numFmtId="184" fontId="3" fillId="12" borderId="108" xfId="1" applyNumberFormat="1" applyFont="1" applyFill="1" applyBorder="1"/>
    <xf numFmtId="184" fontId="3" fillId="13" borderId="108" xfId="1" applyNumberFormat="1" applyFont="1" applyFill="1" applyBorder="1"/>
    <xf numFmtId="184" fontId="3" fillId="15" borderId="108" xfId="1" applyNumberFormat="1" applyFont="1" applyFill="1" applyBorder="1"/>
    <xf numFmtId="184" fontId="3" fillId="18" borderId="108" xfId="1" applyNumberFormat="1" applyFont="1" applyFill="1" applyBorder="1"/>
    <xf numFmtId="0" fontId="4" fillId="5" borderId="14" xfId="0" applyFont="1" applyFill="1" applyBorder="1" applyAlignment="1">
      <alignment horizontal="left"/>
    </xf>
    <xf numFmtId="0" fontId="3" fillId="0" borderId="0" xfId="0" applyFont="1" applyFill="1" applyAlignment="1">
      <alignment vertical="top" wrapText="1"/>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170" fontId="3" fillId="17" borderId="0" xfId="1" applyNumberFormat="1" applyFont="1" applyFill="1" applyBorder="1"/>
    <xf numFmtId="0" fontId="3" fillId="50" borderId="0" xfId="0" applyFont="1" applyFill="1" applyAlignment="1">
      <alignment vertical="top" wrapText="1"/>
    </xf>
    <xf numFmtId="3" fontId="4" fillId="5" borderId="30" xfId="0" applyNumberFormat="1" applyFont="1" applyFill="1" applyBorder="1"/>
    <xf numFmtId="171" fontId="3" fillId="5" borderId="13" xfId="1" applyNumberFormat="1" applyFont="1" applyFill="1" applyBorder="1"/>
    <xf numFmtId="170" fontId="3" fillId="3" borderId="0" xfId="3" applyNumberFormat="1" applyFont="1" applyFill="1" applyBorder="1"/>
    <xf numFmtId="167" fontId="3" fillId="3" borderId="0" xfId="2" applyNumberFormat="1" applyFont="1" applyFill="1" applyBorder="1"/>
    <xf numFmtId="0" fontId="3" fillId="3" borderId="0" xfId="0" applyFont="1" applyFill="1" applyBorder="1" applyAlignment="1">
      <alignment horizontal="left" indent="1"/>
    </xf>
    <xf numFmtId="180" fontId="5" fillId="0" borderId="0" xfId="3" applyNumberFormat="1" applyFont="1" applyFill="1" applyBorder="1"/>
    <xf numFmtId="9" fontId="5" fillId="0" borderId="0" xfId="2" applyFont="1" applyFill="1" applyBorder="1"/>
    <xf numFmtId="185" fontId="4" fillId="5" borderId="12" xfId="1" applyNumberFormat="1" applyFont="1" applyFill="1" applyBorder="1"/>
    <xf numFmtId="185" fontId="4" fillId="5" borderId="14" xfId="1" applyNumberFormat="1" applyFont="1" applyFill="1" applyBorder="1"/>
    <xf numFmtId="185" fontId="4" fillId="5" borderId="13" xfId="1" applyNumberFormat="1" applyFont="1" applyFill="1" applyBorder="1"/>
    <xf numFmtId="185" fontId="4" fillId="5" borderId="2" xfId="1" applyNumberFormat="1" applyFont="1" applyFill="1" applyBorder="1"/>
    <xf numFmtId="3" fontId="3" fillId="3" borderId="0" xfId="0" applyNumberFormat="1" applyFont="1" applyFill="1"/>
    <xf numFmtId="182" fontId="3" fillId="3" borderId="6" xfId="1" applyNumberFormat="1" applyFont="1" applyFill="1" applyBorder="1"/>
    <xf numFmtId="186" fontId="4" fillId="5" borderId="12" xfId="3" applyNumberFormat="1" applyFont="1" applyFill="1" applyBorder="1"/>
    <xf numFmtId="186" fontId="3" fillId="3" borderId="0" xfId="3" applyNumberFormat="1" applyFont="1" applyFill="1" applyBorder="1"/>
    <xf numFmtId="186" fontId="3" fillId="5" borderId="13" xfId="3" applyNumberFormat="1" applyFont="1" applyFill="1" applyBorder="1"/>
    <xf numFmtId="186" fontId="4" fillId="5" borderId="13" xfId="3" applyNumberFormat="1" applyFont="1" applyFill="1" applyBorder="1"/>
    <xf numFmtId="186" fontId="4" fillId="5" borderId="2" xfId="3" applyNumberFormat="1" applyFont="1" applyFill="1" applyBorder="1"/>
    <xf numFmtId="186" fontId="4" fillId="5" borderId="14" xfId="3" applyNumberFormat="1" applyFont="1" applyFill="1" applyBorder="1"/>
    <xf numFmtId="184" fontId="3" fillId="3" borderId="102" xfId="1" applyNumberFormat="1" applyFont="1" applyFill="1" applyBorder="1" applyAlignment="1">
      <alignment vertical="center"/>
    </xf>
    <xf numFmtId="184" fontId="3" fillId="12" borderId="103" xfId="1" applyNumberFormat="1" applyFont="1" applyFill="1" applyBorder="1" applyAlignment="1">
      <alignment vertical="center"/>
    </xf>
    <xf numFmtId="184" fontId="3" fillId="13" borderId="103" xfId="1" applyNumberFormat="1" applyFont="1" applyFill="1" applyBorder="1" applyAlignment="1">
      <alignment vertical="center"/>
    </xf>
    <xf numFmtId="184" fontId="3" fillId="15" borderId="103" xfId="1" applyNumberFormat="1" applyFont="1" applyFill="1" applyBorder="1" applyAlignment="1">
      <alignment vertical="center"/>
    </xf>
    <xf numFmtId="184" fontId="3" fillId="17" borderId="103" xfId="1" applyNumberFormat="1" applyFont="1" applyFill="1" applyBorder="1" applyAlignment="1">
      <alignment vertical="center"/>
    </xf>
    <xf numFmtId="184" fontId="3" fillId="3" borderId="104" xfId="1" applyNumberFormat="1" applyFont="1" applyFill="1" applyBorder="1" applyAlignment="1">
      <alignment vertical="center"/>
    </xf>
    <xf numFmtId="184" fontId="3" fillId="12" borderId="0" xfId="1" applyNumberFormat="1" applyFont="1" applyFill="1" applyBorder="1" applyAlignment="1">
      <alignment vertical="center"/>
    </xf>
    <xf numFmtId="184" fontId="3" fillId="13" borderId="0" xfId="1" applyNumberFormat="1" applyFont="1" applyFill="1" applyBorder="1" applyAlignment="1">
      <alignment vertical="center"/>
    </xf>
    <xf numFmtId="184" fontId="3" fillId="15" borderId="0" xfId="1" applyNumberFormat="1" applyFont="1" applyFill="1" applyBorder="1" applyAlignment="1">
      <alignment vertical="center"/>
    </xf>
    <xf numFmtId="184" fontId="3" fillId="17" borderId="0" xfId="1" applyNumberFormat="1" applyFont="1" applyFill="1" applyBorder="1" applyAlignment="1">
      <alignment vertical="center"/>
    </xf>
    <xf numFmtId="184" fontId="3" fillId="3" borderId="105" xfId="1" applyNumberFormat="1" applyFont="1" applyFill="1" applyBorder="1" applyAlignment="1">
      <alignment vertical="center"/>
    </xf>
    <xf numFmtId="184" fontId="3" fillId="12" borderId="106" xfId="1" applyNumberFormat="1" applyFont="1" applyFill="1" applyBorder="1" applyAlignment="1">
      <alignment vertical="center"/>
    </xf>
    <xf numFmtId="184" fontId="3" fillId="13" borderId="106" xfId="1" applyNumberFormat="1" applyFont="1" applyFill="1" applyBorder="1" applyAlignment="1">
      <alignment vertical="center"/>
    </xf>
    <xf numFmtId="184" fontId="3" fillId="15" borderId="106" xfId="1" applyNumberFormat="1" applyFont="1" applyFill="1" applyBorder="1" applyAlignment="1">
      <alignment vertical="center"/>
    </xf>
    <xf numFmtId="184" fontId="3" fillId="17" borderId="106" xfId="1" applyNumberFormat="1" applyFont="1" applyFill="1" applyBorder="1" applyAlignment="1">
      <alignment vertical="center"/>
    </xf>
    <xf numFmtId="184" fontId="3" fillId="3" borderId="108" xfId="1" applyNumberFormat="1" applyFont="1" applyFill="1" applyBorder="1"/>
    <xf numFmtId="185" fontId="6" fillId="3" borderId="77" xfId="1" applyNumberFormat="1" applyFont="1" applyFill="1" applyBorder="1"/>
    <xf numFmtId="184" fontId="4" fillId="5" borderId="113" xfId="1" applyNumberFormat="1" applyFont="1" applyFill="1" applyBorder="1"/>
    <xf numFmtId="184" fontId="4" fillId="5" borderId="15" xfId="1" applyNumberFormat="1" applyFont="1" applyFill="1" applyBorder="1"/>
    <xf numFmtId="184" fontId="4" fillId="14" borderId="15" xfId="1" applyNumberFormat="1" applyFont="1" applyFill="1" applyBorder="1"/>
    <xf numFmtId="184" fontId="4" fillId="5" borderId="17" xfId="1" applyNumberFormat="1" applyFont="1" applyFill="1" applyBorder="1"/>
    <xf numFmtId="169" fontId="4" fillId="5" borderId="15" xfId="2" applyNumberFormat="1" applyFont="1" applyFill="1" applyBorder="1"/>
    <xf numFmtId="169" fontId="4" fillId="3" borderId="35" xfId="2" applyNumberFormat="1" applyFont="1" applyFill="1" applyBorder="1"/>
    <xf numFmtId="182" fontId="4" fillId="3" borderId="35" xfId="1" applyNumberFormat="1" applyFont="1" applyFill="1" applyBorder="1"/>
    <xf numFmtId="184" fontId="4" fillId="51" borderId="98" xfId="1" applyNumberFormat="1" applyFont="1" applyFill="1" applyBorder="1"/>
    <xf numFmtId="184" fontId="4" fillId="52" borderId="107" xfId="1" applyNumberFormat="1" applyFont="1" applyFill="1" applyBorder="1"/>
    <xf numFmtId="184" fontId="4" fillId="53" borderId="108" xfId="1" applyNumberFormat="1" applyFont="1" applyFill="1" applyBorder="1"/>
    <xf numFmtId="184" fontId="4" fillId="51" borderId="7" xfId="1" applyNumberFormat="1" applyFont="1" applyFill="1" applyBorder="1"/>
    <xf numFmtId="182" fontId="3" fillId="3" borderId="4" xfId="1" applyNumberFormat="1" applyFont="1" applyFill="1" applyBorder="1"/>
    <xf numFmtId="182" fontId="4" fillId="5" borderId="29" xfId="1" applyNumberFormat="1" applyFont="1" applyFill="1" applyBorder="1"/>
    <xf numFmtId="182" fontId="4" fillId="5" borderId="21" xfId="1" applyNumberFormat="1" applyFont="1" applyFill="1" applyBorder="1"/>
    <xf numFmtId="182" fontId="4" fillId="5" borderId="30" xfId="1" applyNumberFormat="1" applyFont="1" applyFill="1" applyBorder="1"/>
    <xf numFmtId="182" fontId="4" fillId="5" borderId="28" xfId="1" applyNumberFormat="1" applyFont="1" applyFill="1" applyBorder="1"/>
    <xf numFmtId="170" fontId="4" fillId="5" borderId="13" xfId="3" applyNumberFormat="1" applyFont="1" applyFill="1" applyBorder="1"/>
    <xf numFmtId="170" fontId="4" fillId="5" borderId="2" xfId="0" applyNumberFormat="1" applyFont="1" applyFill="1" applyBorder="1"/>
    <xf numFmtId="5" fontId="3" fillId="53" borderId="0" xfId="1" applyNumberFormat="1" applyFont="1" applyFill="1" applyBorder="1"/>
    <xf numFmtId="186" fontId="3" fillId="53" borderId="0" xfId="1" applyNumberFormat="1" applyFont="1" applyFill="1" applyBorder="1"/>
    <xf numFmtId="182" fontId="3" fillId="53" borderId="0" xfId="1" applyNumberFormat="1" applyFont="1" applyFill="1" applyBorder="1"/>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79" fillId="3" borderId="0" xfId="0" applyFont="1" applyFill="1"/>
    <xf numFmtId="3" fontId="79" fillId="3" borderId="0" xfId="0" applyNumberFormat="1" applyFont="1" applyFill="1" applyAlignment="1">
      <alignment horizontal="right" indent="1"/>
    </xf>
    <xf numFmtId="0" fontId="79" fillId="3" borderId="0" xfId="0" applyFont="1" applyFill="1" applyAlignment="1">
      <alignment horizontal="right" indent="1"/>
    </xf>
    <xf numFmtId="0" fontId="79" fillId="3" borderId="0" xfId="0" applyFont="1" applyFill="1" applyBorder="1" applyAlignment="1">
      <alignment horizontal="right"/>
    </xf>
    <xf numFmtId="0" fontId="9" fillId="6" borderId="93" xfId="7" applyFont="1" applyFill="1" applyBorder="1" applyAlignment="1" applyProtection="1">
      <alignment horizontal="center" vertical="center"/>
    </xf>
    <xf numFmtId="0" fontId="4" fillId="4" borderId="13" xfId="0" applyFont="1" applyFill="1" applyBorder="1" applyAlignment="1">
      <alignment horizontal="center" vertical="top" wrapText="1"/>
    </xf>
    <xf numFmtId="0" fontId="4" fillId="4" borderId="15" xfId="0" applyFont="1" applyFill="1" applyBorder="1" applyAlignment="1">
      <alignment horizontal="center" vertical="top" wrapText="1"/>
    </xf>
    <xf numFmtId="0" fontId="9" fillId="6" borderId="27" xfId="7" applyFont="1" applyFill="1" applyBorder="1" applyAlignment="1" applyProtection="1">
      <alignment horizontal="center" vertical="center" wrapText="1"/>
    </xf>
    <xf numFmtId="0" fontId="9" fillId="6" borderId="31" xfId="7" applyFont="1" applyFill="1" applyBorder="1" applyAlignment="1" applyProtection="1">
      <alignment horizontal="center" vertical="center" wrapText="1"/>
    </xf>
    <xf numFmtId="0" fontId="9" fillId="6" borderId="35" xfId="7" applyFont="1" applyFill="1" applyBorder="1" applyAlignment="1" applyProtection="1">
      <alignment horizontal="center" vertical="center" wrapText="1"/>
    </xf>
    <xf numFmtId="0" fontId="74" fillId="3" borderId="0" xfId="0" applyFont="1" applyFill="1" applyBorder="1" applyAlignment="1">
      <alignment horizontal="left" indent="1"/>
    </xf>
    <xf numFmtId="0" fontId="4" fillId="3" borderId="20" xfId="0" applyFont="1" applyFill="1" applyBorder="1" applyAlignment="1">
      <alignment horizontal="center"/>
    </xf>
    <xf numFmtId="0" fontId="4" fillId="3" borderId="74" xfId="0" applyFont="1" applyFill="1" applyBorder="1" applyAlignment="1">
      <alignment horizontal="center"/>
    </xf>
    <xf numFmtId="0" fontId="4" fillId="0" borderId="0" xfId="0" applyFont="1" applyFill="1" applyBorder="1" applyAlignment="1">
      <alignment horizontal="left" indent="1"/>
    </xf>
    <xf numFmtId="0" fontId="3" fillId="0" borderId="0" xfId="0" applyFont="1" applyFill="1" applyAlignment="1">
      <alignment vertical="top" wrapText="1"/>
    </xf>
    <xf numFmtId="0" fontId="3" fillId="3" borderId="0" xfId="0" applyFont="1" applyFill="1" applyAlignment="1">
      <alignment horizontal="left" wrapText="1"/>
    </xf>
    <xf numFmtId="0" fontId="9" fillId="6" borderId="21" xfId="7" applyFont="1" applyFill="1" applyBorder="1" applyAlignment="1" applyProtection="1">
      <alignment horizontal="center" vertical="center" wrapText="1"/>
    </xf>
    <xf numFmtId="0" fontId="9" fillId="6" borderId="13" xfId="7" applyFont="1" applyFill="1" applyBorder="1" applyAlignment="1" applyProtection="1">
      <alignment horizontal="center" vertical="center" wrapText="1"/>
    </xf>
    <xf numFmtId="0" fontId="78" fillId="49" borderId="21" xfId="0" applyFont="1" applyFill="1" applyBorder="1" applyAlignment="1">
      <alignment horizontal="center"/>
    </xf>
    <xf numFmtId="0" fontId="78" fillId="49" borderId="13" xfId="0" applyFont="1" applyFill="1" applyBorder="1" applyAlignment="1">
      <alignment horizontal="center"/>
    </xf>
    <xf numFmtId="0" fontId="78" fillId="49" borderId="15" xfId="0" applyFont="1" applyFill="1" applyBorder="1" applyAlignment="1">
      <alignment horizontal="center"/>
    </xf>
    <xf numFmtId="0" fontId="9" fillId="6" borderId="20" xfId="7" applyFont="1" applyFill="1" applyBorder="1" applyAlignment="1" applyProtection="1">
      <alignment horizontal="center" vertical="center"/>
    </xf>
    <xf numFmtId="0" fontId="9" fillId="6" borderId="19" xfId="7" applyFont="1" applyFill="1" applyBorder="1" applyAlignment="1" applyProtection="1">
      <alignment horizontal="center" vertical="center"/>
    </xf>
    <xf numFmtId="0" fontId="9" fillId="6" borderId="74" xfId="7" applyFont="1" applyFill="1" applyBorder="1" applyAlignment="1" applyProtection="1">
      <alignment horizontal="center" vertical="center"/>
    </xf>
    <xf numFmtId="0" fontId="9" fillId="6" borderId="39" xfId="7" applyFont="1" applyFill="1" applyBorder="1" applyAlignment="1" applyProtection="1">
      <alignment horizontal="center" vertical="center"/>
    </xf>
    <xf numFmtId="0" fontId="9" fillId="6" borderId="31" xfId="7" applyFont="1" applyFill="1" applyBorder="1" applyAlignment="1" applyProtection="1">
      <alignment horizontal="center" vertical="center"/>
    </xf>
    <xf numFmtId="0" fontId="9" fillId="6" borderId="35" xfId="7" applyFont="1" applyFill="1" applyBorder="1" applyAlignment="1" applyProtection="1">
      <alignment horizontal="center" vertical="center"/>
    </xf>
    <xf numFmtId="0" fontId="9" fillId="6" borderId="32" xfId="7" applyFont="1" applyFill="1" applyBorder="1" applyAlignment="1" applyProtection="1">
      <alignment horizontal="center" vertical="center"/>
    </xf>
    <xf numFmtId="0" fontId="9" fillId="6" borderId="34" xfId="7" applyFont="1" applyFill="1" applyBorder="1" applyAlignment="1" applyProtection="1">
      <alignment horizontal="center" vertical="center"/>
    </xf>
    <xf numFmtId="0" fontId="9" fillId="6" borderId="33" xfId="7" applyFont="1" applyFill="1" applyBorder="1" applyAlignment="1" applyProtection="1">
      <alignment horizontal="center" vertical="center"/>
    </xf>
    <xf numFmtId="0" fontId="4" fillId="4" borderId="8"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6" borderId="27" xfId="7" applyFont="1" applyFill="1" applyBorder="1" applyAlignment="1" applyProtection="1">
      <alignment horizontal="center" vertical="center"/>
    </xf>
    <xf numFmtId="184" fontId="3" fillId="15" borderId="0" xfId="1" applyNumberFormat="1" applyFont="1" applyFill="1" applyBorder="1" applyAlignment="1">
      <alignment horizontal="center" vertical="center"/>
    </xf>
    <xf numFmtId="184" fontId="3" fillId="15" borderId="86" xfId="1" applyNumberFormat="1" applyFont="1" applyFill="1" applyBorder="1" applyAlignment="1">
      <alignment horizontal="center" vertical="center"/>
    </xf>
    <xf numFmtId="184" fontId="3" fillId="3" borderId="6" xfId="1" applyNumberFormat="1" applyFont="1" applyFill="1" applyBorder="1" applyAlignment="1">
      <alignment horizontal="center" vertical="center"/>
    </xf>
    <xf numFmtId="184" fontId="3" fillId="3" borderId="97" xfId="1" applyNumberFormat="1" applyFont="1" applyFill="1" applyBorder="1" applyAlignment="1">
      <alignment horizontal="center" vertical="center"/>
    </xf>
    <xf numFmtId="184" fontId="3" fillId="12" borderId="0" xfId="1" applyNumberFormat="1" applyFont="1" applyFill="1" applyBorder="1" applyAlignment="1">
      <alignment horizontal="center" vertical="center"/>
    </xf>
    <xf numFmtId="184" fontId="3" fillId="12" borderId="86" xfId="1" applyNumberFormat="1" applyFont="1" applyFill="1" applyBorder="1" applyAlignment="1">
      <alignment horizontal="center" vertical="center"/>
    </xf>
    <xf numFmtId="184" fontId="3" fillId="13" borderId="0" xfId="1" applyNumberFormat="1" applyFont="1" applyFill="1" applyBorder="1" applyAlignment="1">
      <alignment horizontal="center" vertical="center"/>
    </xf>
    <xf numFmtId="184" fontId="3" fillId="13" borderId="86" xfId="1" applyNumberFormat="1" applyFont="1" applyFill="1" applyBorder="1" applyAlignment="1">
      <alignment horizontal="center" vertical="center"/>
    </xf>
    <xf numFmtId="184" fontId="3" fillId="3" borderId="103" xfId="1" applyNumberFormat="1" applyFont="1" applyFill="1" applyBorder="1" applyAlignment="1">
      <alignment horizontal="center" vertical="center"/>
    </xf>
    <xf numFmtId="184" fontId="3" fillId="3" borderId="0" xfId="1" applyNumberFormat="1" applyFont="1" applyFill="1" applyBorder="1" applyAlignment="1">
      <alignment horizontal="center" vertical="center"/>
    </xf>
    <xf numFmtId="184" fontId="3" fillId="3" borderId="86" xfId="1" applyNumberFormat="1" applyFont="1" applyFill="1" applyBorder="1" applyAlignment="1">
      <alignment horizontal="center" vertical="center"/>
    </xf>
    <xf numFmtId="184" fontId="4" fillId="51" borderId="111" xfId="1" applyNumberFormat="1" applyFont="1" applyFill="1" applyBorder="1" applyAlignment="1">
      <alignment horizontal="center" vertical="center"/>
    </xf>
    <xf numFmtId="184" fontId="4" fillId="51" borderId="7" xfId="1" applyNumberFormat="1" applyFont="1" applyFill="1" applyBorder="1" applyAlignment="1">
      <alignment horizontal="center" vertical="center"/>
    </xf>
    <xf numFmtId="184" fontId="4" fillId="51" borderId="40" xfId="1" applyNumberFormat="1" applyFont="1" applyFill="1" applyBorder="1" applyAlignment="1">
      <alignment horizontal="center" vertical="center"/>
    </xf>
    <xf numFmtId="184" fontId="3" fillId="17" borderId="103" xfId="1" applyNumberFormat="1" applyFont="1" applyFill="1" applyBorder="1" applyAlignment="1">
      <alignment horizontal="center" vertical="center"/>
    </xf>
    <xf numFmtId="184" fontId="3" fillId="17" borderId="0" xfId="1" applyNumberFormat="1" applyFont="1" applyFill="1" applyBorder="1" applyAlignment="1">
      <alignment horizontal="center" vertical="center"/>
    </xf>
    <xf numFmtId="184" fontId="3" fillId="17" borderId="86" xfId="1" applyNumberFormat="1" applyFont="1" applyFill="1" applyBorder="1" applyAlignment="1">
      <alignment horizontal="center" vertical="center"/>
    </xf>
    <xf numFmtId="184" fontId="3" fillId="3" borderId="4" xfId="1" applyNumberFormat="1" applyFont="1" applyFill="1" applyBorder="1" applyAlignment="1">
      <alignment horizontal="center" vertical="center"/>
    </xf>
    <xf numFmtId="184" fontId="3" fillId="3" borderId="8" xfId="1" applyNumberFormat="1" applyFont="1" applyFill="1" applyBorder="1" applyAlignment="1">
      <alignment horizontal="center" vertical="center"/>
    </xf>
    <xf numFmtId="184" fontId="3" fillId="12" borderId="22" xfId="1" applyNumberFormat="1" applyFont="1" applyFill="1" applyBorder="1" applyAlignment="1">
      <alignment horizontal="center" vertical="center"/>
    </xf>
    <xf numFmtId="184" fontId="3" fillId="12" borderId="26" xfId="1" applyNumberFormat="1" applyFont="1" applyFill="1" applyBorder="1" applyAlignment="1">
      <alignment horizontal="center" vertical="center"/>
    </xf>
    <xf numFmtId="184" fontId="3" fillId="13" borderId="22" xfId="1" applyNumberFormat="1" applyFont="1" applyFill="1" applyBorder="1" applyAlignment="1">
      <alignment horizontal="center" vertical="center"/>
    </xf>
    <xf numFmtId="184" fontId="3" fillId="13" borderId="26" xfId="1" applyNumberFormat="1" applyFont="1" applyFill="1" applyBorder="1" applyAlignment="1">
      <alignment horizontal="center" vertical="center"/>
    </xf>
    <xf numFmtId="184" fontId="3" fillId="15" borderId="22" xfId="1" applyNumberFormat="1" applyFont="1" applyFill="1" applyBorder="1" applyAlignment="1">
      <alignment horizontal="center" vertical="center"/>
    </xf>
    <xf numFmtId="184" fontId="3" fillId="15" borderId="26" xfId="1" applyNumberFormat="1" applyFont="1" applyFill="1" applyBorder="1" applyAlignment="1">
      <alignment horizontal="center" vertical="center"/>
    </xf>
    <xf numFmtId="184" fontId="3" fillId="17" borderId="22" xfId="1" applyNumberFormat="1" applyFont="1" applyFill="1" applyBorder="1" applyAlignment="1">
      <alignment horizontal="center" vertical="center"/>
    </xf>
    <xf numFmtId="184" fontId="3" fillId="17" borderId="26" xfId="1" applyNumberFormat="1" applyFont="1" applyFill="1" applyBorder="1" applyAlignment="1">
      <alignment horizontal="center" vertical="center"/>
    </xf>
    <xf numFmtId="184" fontId="3" fillId="18" borderId="22" xfId="1" applyNumberFormat="1" applyFont="1" applyFill="1" applyBorder="1" applyAlignment="1">
      <alignment horizontal="center" vertical="center"/>
    </xf>
    <xf numFmtId="184" fontId="3" fillId="18" borderId="0" xfId="1" applyNumberFormat="1" applyFont="1" applyFill="1" applyBorder="1" applyAlignment="1">
      <alignment horizontal="center" vertical="center"/>
    </xf>
    <xf numFmtId="184" fontId="3" fillId="18" borderId="106" xfId="1" applyNumberFormat="1" applyFont="1" applyFill="1" applyBorder="1" applyAlignment="1">
      <alignment horizontal="center" vertical="center"/>
    </xf>
    <xf numFmtId="184" fontId="3" fillId="17" borderId="106" xfId="1" applyNumberFormat="1" applyFont="1" applyFill="1" applyBorder="1" applyAlignment="1">
      <alignment horizontal="center" vertical="center"/>
    </xf>
    <xf numFmtId="184" fontId="3" fillId="3" borderId="22" xfId="1" applyNumberFormat="1" applyFont="1" applyFill="1" applyBorder="1" applyAlignment="1">
      <alignment horizontal="center" vertical="center"/>
    </xf>
    <xf numFmtId="184" fontId="3" fillId="3" borderId="26" xfId="1" applyNumberFormat="1" applyFont="1" applyFill="1" applyBorder="1" applyAlignment="1">
      <alignment horizontal="center" vertical="center"/>
    </xf>
    <xf numFmtId="184" fontId="4" fillId="51" borderId="5" xfId="1" applyNumberFormat="1" applyFont="1" applyFill="1" applyBorder="1" applyAlignment="1">
      <alignment horizontal="center" vertical="center"/>
    </xf>
    <xf numFmtId="184" fontId="4" fillId="51" borderId="9" xfId="1" applyNumberFormat="1" applyFont="1" applyFill="1" applyBorder="1" applyAlignment="1">
      <alignment horizontal="center" vertical="center"/>
    </xf>
    <xf numFmtId="184" fontId="3" fillId="3" borderId="22" xfId="1" applyNumberFormat="1" applyFont="1" applyFill="1" applyBorder="1" applyAlignment="1">
      <alignment horizontal="center"/>
    </xf>
    <xf numFmtId="184" fontId="3" fillId="3" borderId="26" xfId="1" applyNumberFormat="1" applyFont="1" applyFill="1" applyBorder="1" applyAlignment="1">
      <alignment horizontal="center"/>
    </xf>
    <xf numFmtId="184" fontId="4" fillId="52" borderId="5" xfId="1" applyNumberFormat="1" applyFont="1" applyFill="1" applyBorder="1" applyAlignment="1">
      <alignment horizontal="center" vertical="center"/>
    </xf>
    <xf numFmtId="184" fontId="4" fillId="52" borderId="7" xfId="1" applyNumberFormat="1" applyFont="1" applyFill="1" applyBorder="1" applyAlignment="1">
      <alignment horizontal="center" vertical="center"/>
    </xf>
    <xf numFmtId="184" fontId="4" fillId="52" borderId="112" xfId="1" applyNumberFormat="1" applyFont="1" applyFill="1" applyBorder="1" applyAlignment="1">
      <alignment horizontal="center" vertical="center"/>
    </xf>
    <xf numFmtId="184" fontId="4" fillId="51" borderId="112" xfId="1" applyNumberFormat="1" applyFont="1" applyFill="1" applyBorder="1" applyAlignment="1">
      <alignment horizontal="center" vertical="center"/>
    </xf>
    <xf numFmtId="184" fontId="74" fillId="3" borderId="109" xfId="1" applyNumberFormat="1" applyFont="1" applyFill="1" applyBorder="1" applyAlignment="1">
      <alignment horizontal="center"/>
    </xf>
    <xf numFmtId="184" fontId="74" fillId="3" borderId="108" xfId="1" applyNumberFormat="1" applyFont="1" applyFill="1" applyBorder="1" applyAlignment="1">
      <alignment horizontal="center"/>
    </xf>
    <xf numFmtId="184" fontId="74" fillId="3" borderId="107" xfId="1" applyNumberFormat="1" applyFont="1" applyFill="1" applyBorder="1" applyAlignment="1">
      <alignment horizontal="center"/>
    </xf>
    <xf numFmtId="184" fontId="3" fillId="3" borderId="106" xfId="1" applyNumberFormat="1" applyFont="1" applyFill="1" applyBorder="1" applyAlignment="1">
      <alignment horizontal="center" vertical="center"/>
    </xf>
    <xf numFmtId="184" fontId="3" fillId="13" borderId="0" xfId="1" applyNumberFormat="1" applyFont="1" applyFill="1" applyAlignment="1">
      <alignment horizontal="center" vertical="center"/>
    </xf>
    <xf numFmtId="184" fontId="3" fillId="15" borderId="106" xfId="1" applyNumberFormat="1" applyFont="1" applyFill="1" applyBorder="1" applyAlignment="1">
      <alignment horizontal="center" vertical="center"/>
    </xf>
    <xf numFmtId="184" fontId="3" fillId="13" borderId="106" xfId="1" applyNumberFormat="1" applyFont="1" applyFill="1" applyBorder="1" applyAlignment="1">
      <alignment horizontal="center" vertical="center"/>
    </xf>
    <xf numFmtId="184" fontId="3" fillId="12" borderId="106" xfId="1" applyNumberFormat="1" applyFont="1" applyFill="1" applyBorder="1" applyAlignment="1">
      <alignment horizontal="center" vertical="center"/>
    </xf>
    <xf numFmtId="184" fontId="3" fillId="3" borderId="104" xfId="1" applyNumberFormat="1" applyFont="1" applyFill="1" applyBorder="1" applyAlignment="1">
      <alignment horizontal="center" vertical="center"/>
    </xf>
    <xf numFmtId="184" fontId="3" fillId="3" borderId="105" xfId="1" applyNumberFormat="1" applyFont="1" applyFill="1" applyBorder="1" applyAlignment="1">
      <alignment horizontal="center" vertical="center"/>
    </xf>
  </cellXfs>
  <cellStyles count="1248">
    <cellStyle name="~CALC Amount" xfId="32"/>
    <cellStyle name="~CALC Amount 2" xfId="79"/>
    <cellStyle name="~Total Sub" xfId="33"/>
    <cellStyle name="~Total Sub 2" xfId="80"/>
    <cellStyle name="20 % - Accent1 2" xfId="34"/>
    <cellStyle name="20 % - Accent2 2" xfId="35"/>
    <cellStyle name="20 % - Accent3 2" xfId="36"/>
    <cellStyle name="20 % - Accent4 2" xfId="37"/>
    <cellStyle name="20 % - Accent5 2" xfId="38"/>
    <cellStyle name="20 % - Accent6 2" xfId="39"/>
    <cellStyle name="20% - Accent1" xfId="91"/>
    <cellStyle name="20% - Accent1 10 2" xfId="92"/>
    <cellStyle name="20% - Accent1 11 2" xfId="93"/>
    <cellStyle name="20% - Accent1 12 2" xfId="94"/>
    <cellStyle name="20% - Accent1 13 2" xfId="95"/>
    <cellStyle name="20% - Accent1 2" xfId="96"/>
    <cellStyle name="20% - Accent1 2 2" xfId="97"/>
    <cellStyle name="20% - Accent1 2 2 2" xfId="98"/>
    <cellStyle name="20% - Accent1 2 2 2 2" xfId="99"/>
    <cellStyle name="20% - Accent1 2 2 3" xfId="100"/>
    <cellStyle name="20% - Accent1 2 3" xfId="101"/>
    <cellStyle name="20% - Accent1 2 3 2" xfId="102"/>
    <cellStyle name="20% - Accent1 3" xfId="103"/>
    <cellStyle name="20% - Accent1 4" xfId="104"/>
    <cellStyle name="20% - Accent1 5" xfId="105"/>
    <cellStyle name="20% - Accent1 5 2" xfId="106"/>
    <cellStyle name="20% - Accent1 6 2" xfId="107"/>
    <cellStyle name="20% - Accent1 7 2" xfId="108"/>
    <cellStyle name="20% - Accent1 8 2" xfId="109"/>
    <cellStyle name="20% - Accent1 9 2" xfId="110"/>
    <cellStyle name="20% - Accent1_NLBU -OPERATIONS  FINANCIAL REPORT - FEB10_REV Tanya" xfId="111"/>
    <cellStyle name="20% - Accent2" xfId="112"/>
    <cellStyle name="20% - Accent2 10 2" xfId="113"/>
    <cellStyle name="20% - Accent2 11 2" xfId="114"/>
    <cellStyle name="20% - Accent2 12 2" xfId="115"/>
    <cellStyle name="20% - Accent2 13 2" xfId="116"/>
    <cellStyle name="20% - Accent2 2" xfId="117"/>
    <cellStyle name="20% - Accent2 2 2" xfId="118"/>
    <cellStyle name="20% - Accent2 2 2 2" xfId="119"/>
    <cellStyle name="20% - Accent2 2 2 2 2" xfId="120"/>
    <cellStyle name="20% - Accent2 2 2 3" xfId="121"/>
    <cellStyle name="20% - Accent2 2 3" xfId="122"/>
    <cellStyle name="20% - Accent2 2 3 2" xfId="123"/>
    <cellStyle name="20% - Accent2 3" xfId="124"/>
    <cellStyle name="20% - Accent2 4" xfId="125"/>
    <cellStyle name="20% - Accent2 5" xfId="126"/>
    <cellStyle name="20% - Accent2 5 2" xfId="127"/>
    <cellStyle name="20% - Accent2 6 2" xfId="128"/>
    <cellStyle name="20% - Accent2 7 2" xfId="129"/>
    <cellStyle name="20% - Accent2 8 2" xfId="130"/>
    <cellStyle name="20% - Accent2 9 2" xfId="131"/>
    <cellStyle name="20% - Accent2_NLBU -OPERATIONS  FINANCIAL REPORT - FEB10_REV Tanya" xfId="132"/>
    <cellStyle name="20% - Accent3" xfId="133"/>
    <cellStyle name="20% - Accent3 10 2" xfId="134"/>
    <cellStyle name="20% - Accent3 11 2" xfId="135"/>
    <cellStyle name="20% - Accent3 12 2" xfId="136"/>
    <cellStyle name="20% - Accent3 13 2" xfId="137"/>
    <cellStyle name="20% - Accent3 2" xfId="138"/>
    <cellStyle name="20% - Accent3 2 2" xfId="139"/>
    <cellStyle name="20% - Accent3 2 2 2" xfId="140"/>
    <cellStyle name="20% - Accent3 2 2 2 2" xfId="141"/>
    <cellStyle name="20% - Accent3 2 2 3" xfId="142"/>
    <cellStyle name="20% - Accent3 2 3" xfId="143"/>
    <cellStyle name="20% - Accent3 2 3 2" xfId="144"/>
    <cellStyle name="20% - Accent3 3" xfId="145"/>
    <cellStyle name="20% - Accent3 4" xfId="146"/>
    <cellStyle name="20% - Accent3 5" xfId="147"/>
    <cellStyle name="20% - Accent3 5 2" xfId="148"/>
    <cellStyle name="20% - Accent3 6 2" xfId="149"/>
    <cellStyle name="20% - Accent3 7 2" xfId="150"/>
    <cellStyle name="20% - Accent3 8 2" xfId="151"/>
    <cellStyle name="20% - Accent3 9 2" xfId="152"/>
    <cellStyle name="20% - Accent3_NLBU -OPERATIONS  FINANCIAL REPORT - FEB10_REV Tanya" xfId="153"/>
    <cellStyle name="20% - Accent4" xfId="154"/>
    <cellStyle name="20% - Accent4 10 2" xfId="155"/>
    <cellStyle name="20% - Accent4 11 2" xfId="156"/>
    <cellStyle name="20% - Accent4 12 2" xfId="157"/>
    <cellStyle name="20% - Accent4 13 2" xfId="158"/>
    <cellStyle name="20% - Accent4 2" xfId="159"/>
    <cellStyle name="20% - Accent4 2 2" xfId="160"/>
    <cellStyle name="20% - Accent4 2 2 2" xfId="161"/>
    <cellStyle name="20% - Accent4 2 2 2 2" xfId="162"/>
    <cellStyle name="20% - Accent4 2 2 3" xfId="163"/>
    <cellStyle name="20% - Accent4 2 3" xfId="164"/>
    <cellStyle name="20% - Accent4 2 3 2" xfId="165"/>
    <cellStyle name="20% - Accent4 3" xfId="166"/>
    <cellStyle name="20% - Accent4 4" xfId="167"/>
    <cellStyle name="20% - Accent4 5" xfId="168"/>
    <cellStyle name="20% - Accent4 5 2" xfId="169"/>
    <cellStyle name="20% - Accent4 6 2" xfId="170"/>
    <cellStyle name="20% - Accent4 7 2" xfId="171"/>
    <cellStyle name="20% - Accent4 8 2" xfId="172"/>
    <cellStyle name="20% - Accent4 9 2" xfId="173"/>
    <cellStyle name="20% - Accent4_NLBU -OPERATIONS  FINANCIAL REPORT - FEB10_REV Tanya" xfId="174"/>
    <cellStyle name="20% - Accent5" xfId="175"/>
    <cellStyle name="20% - Accent5 10 2" xfId="176"/>
    <cellStyle name="20% - Accent5 11 2" xfId="177"/>
    <cellStyle name="20% - Accent5 12 2" xfId="178"/>
    <cellStyle name="20% - Accent5 13 2" xfId="179"/>
    <cellStyle name="20% - Accent5 2" xfId="180"/>
    <cellStyle name="20% - Accent5 2 2" xfId="181"/>
    <cellStyle name="20% - Accent5 2 2 2" xfId="182"/>
    <cellStyle name="20% - Accent5 2 2 2 2" xfId="183"/>
    <cellStyle name="20% - Accent5 2 2 3" xfId="184"/>
    <cellStyle name="20% - Accent5 2 3" xfId="185"/>
    <cellStyle name="20% - Accent5 2 3 2" xfId="186"/>
    <cellStyle name="20% - Accent5 3" xfId="187"/>
    <cellStyle name="20% - Accent5 4" xfId="188"/>
    <cellStyle name="20% - Accent5 5" xfId="189"/>
    <cellStyle name="20% - Accent5 5 2" xfId="190"/>
    <cellStyle name="20% - Accent5 6 2" xfId="191"/>
    <cellStyle name="20% - Accent5 7 2" xfId="192"/>
    <cellStyle name="20% - Accent5 8 2" xfId="193"/>
    <cellStyle name="20% - Accent5 9 2" xfId="194"/>
    <cellStyle name="20% - Accent5_NLBU -OPERATIONS  FINANCIAL REPORT - FEB10_REV Tanya" xfId="195"/>
    <cellStyle name="20% - Accent6" xfId="196"/>
    <cellStyle name="20% - Accent6 10 2" xfId="197"/>
    <cellStyle name="20% - Accent6 11 2" xfId="198"/>
    <cellStyle name="20% - Accent6 12 2" xfId="199"/>
    <cellStyle name="20% - Accent6 13 2" xfId="200"/>
    <cellStyle name="20% - Accent6 2" xfId="201"/>
    <cellStyle name="20% - Accent6 2 2" xfId="202"/>
    <cellStyle name="20% - Accent6 2 2 2" xfId="203"/>
    <cellStyle name="20% - Accent6 2 2 2 2" xfId="204"/>
    <cellStyle name="20% - Accent6 2 2 3" xfId="205"/>
    <cellStyle name="20% - Accent6 2 3" xfId="206"/>
    <cellStyle name="20% - Accent6 2 3 2" xfId="207"/>
    <cellStyle name="20% - Accent6 3" xfId="208"/>
    <cellStyle name="20% - Accent6 4" xfId="209"/>
    <cellStyle name="20% - Accent6 5" xfId="210"/>
    <cellStyle name="20% - Accent6 5 2" xfId="211"/>
    <cellStyle name="20% - Accent6 6 2" xfId="212"/>
    <cellStyle name="20% - Accent6 7 2" xfId="213"/>
    <cellStyle name="20% - Accent6 8 2" xfId="214"/>
    <cellStyle name="20% - Accent6 9 2" xfId="215"/>
    <cellStyle name="20% - Accent6_NLBU -OPERATIONS  FINANCIAL REPORT - FEB10_REV Tanya" xfId="216"/>
    <cellStyle name="40 % - Accent1 2" xfId="40"/>
    <cellStyle name="40 % - Accent2 2" xfId="41"/>
    <cellStyle name="40 % - Accent3 2" xfId="42"/>
    <cellStyle name="40 % - Accent4 2" xfId="43"/>
    <cellStyle name="40 % - Accent5 2" xfId="44"/>
    <cellStyle name="40 % - Accent6 2" xfId="45"/>
    <cellStyle name="40% - Accent1" xfId="217"/>
    <cellStyle name="40% - Accent1 10 2" xfId="218"/>
    <cellStyle name="40% - Accent1 11 2" xfId="219"/>
    <cellStyle name="40% - Accent1 12 2" xfId="220"/>
    <cellStyle name="40% - Accent1 13 2" xfId="221"/>
    <cellStyle name="40% - Accent1 2" xfId="222"/>
    <cellStyle name="40% - Accent1 2 2" xfId="223"/>
    <cellStyle name="40% - Accent1 2 2 2" xfId="224"/>
    <cellStyle name="40% - Accent1 2 2 2 2" xfId="225"/>
    <cellStyle name="40% - Accent1 2 2 3" xfId="226"/>
    <cellStyle name="40% - Accent1 2 3" xfId="227"/>
    <cellStyle name="40% - Accent1 2 3 2" xfId="228"/>
    <cellStyle name="40% - Accent1 3" xfId="229"/>
    <cellStyle name="40% - Accent1 4" xfId="230"/>
    <cellStyle name="40% - Accent1 5" xfId="231"/>
    <cellStyle name="40% - Accent1 5 2" xfId="232"/>
    <cellStyle name="40% - Accent1 6 2" xfId="233"/>
    <cellStyle name="40% - Accent1 7 2" xfId="234"/>
    <cellStyle name="40% - Accent1 8 2" xfId="235"/>
    <cellStyle name="40% - Accent1 9 2" xfId="236"/>
    <cellStyle name="40% - Accent1_NLBU -OPERATIONS  FINANCIAL REPORT - FEB10_REV Tanya" xfId="237"/>
    <cellStyle name="40% - Accent2" xfId="238"/>
    <cellStyle name="40% - Accent2 10 2" xfId="239"/>
    <cellStyle name="40% - Accent2 11 2" xfId="240"/>
    <cellStyle name="40% - Accent2 12 2" xfId="241"/>
    <cellStyle name="40% - Accent2 13 2" xfId="242"/>
    <cellStyle name="40% - Accent2 2" xfId="243"/>
    <cellStyle name="40% - Accent2 2 2" xfId="244"/>
    <cellStyle name="40% - Accent2 2 2 2" xfId="245"/>
    <cellStyle name="40% - Accent2 2 2 2 2" xfId="246"/>
    <cellStyle name="40% - Accent2 2 2 3" xfId="247"/>
    <cellStyle name="40% - Accent2 2 3" xfId="248"/>
    <cellStyle name="40% - Accent2 2 3 2" xfId="249"/>
    <cellStyle name="40% - Accent2 3" xfId="250"/>
    <cellStyle name="40% - Accent2 4" xfId="251"/>
    <cellStyle name="40% - Accent2 5" xfId="252"/>
    <cellStyle name="40% - Accent2 5 2" xfId="253"/>
    <cellStyle name="40% - Accent2 6 2" xfId="254"/>
    <cellStyle name="40% - Accent2 7 2" xfId="255"/>
    <cellStyle name="40% - Accent2 8 2" xfId="256"/>
    <cellStyle name="40% - Accent2 9 2" xfId="257"/>
    <cellStyle name="40% - Accent2_NLBU -OPERATIONS  FINANCIAL REPORT - FEB10_REV Tanya" xfId="258"/>
    <cellStyle name="40% - Accent3" xfId="259"/>
    <cellStyle name="40% - Accent3 10 2" xfId="260"/>
    <cellStyle name="40% - Accent3 11 2" xfId="261"/>
    <cellStyle name="40% - Accent3 12 2" xfId="262"/>
    <cellStyle name="40% - Accent3 13 2" xfId="263"/>
    <cellStyle name="40% - Accent3 2" xfId="264"/>
    <cellStyle name="40% - Accent3 2 2" xfId="265"/>
    <cellStyle name="40% - Accent3 2 2 2" xfId="266"/>
    <cellStyle name="40% - Accent3 2 2 2 2" xfId="267"/>
    <cellStyle name="40% - Accent3 2 2 3" xfId="268"/>
    <cellStyle name="40% - Accent3 2 3" xfId="269"/>
    <cellStyle name="40% - Accent3 2 3 2" xfId="270"/>
    <cellStyle name="40% - Accent3 3" xfId="271"/>
    <cellStyle name="40% - Accent3 4" xfId="272"/>
    <cellStyle name="40% - Accent3 5" xfId="273"/>
    <cellStyle name="40% - Accent3 5 2" xfId="274"/>
    <cellStyle name="40% - Accent3 6 2" xfId="275"/>
    <cellStyle name="40% - Accent3 7 2" xfId="276"/>
    <cellStyle name="40% - Accent3 8 2" xfId="277"/>
    <cellStyle name="40% - Accent3 9 2" xfId="278"/>
    <cellStyle name="40% - Accent3_NLBU -OPERATIONS  FINANCIAL REPORT - FEB10_REV Tanya" xfId="279"/>
    <cellStyle name="40% - Accent4" xfId="280"/>
    <cellStyle name="40% - Accent4 10 2" xfId="281"/>
    <cellStyle name="40% - Accent4 11 2" xfId="282"/>
    <cellStyle name="40% - Accent4 12 2" xfId="283"/>
    <cellStyle name="40% - Accent4 13 2" xfId="284"/>
    <cellStyle name="40% - Accent4 2" xfId="285"/>
    <cellStyle name="40% - Accent4 2 2" xfId="286"/>
    <cellStyle name="40% - Accent4 2 2 2" xfId="287"/>
    <cellStyle name="40% - Accent4 2 2 2 2" xfId="288"/>
    <cellStyle name="40% - Accent4 2 2 3" xfId="289"/>
    <cellStyle name="40% - Accent4 2 3" xfId="290"/>
    <cellStyle name="40% - Accent4 2 3 2" xfId="291"/>
    <cellStyle name="40% - Accent4 3" xfId="292"/>
    <cellStyle name="40% - Accent4 4" xfId="293"/>
    <cellStyle name="40% - Accent4 5" xfId="294"/>
    <cellStyle name="40% - Accent4 5 2" xfId="295"/>
    <cellStyle name="40% - Accent4 6 2" xfId="296"/>
    <cellStyle name="40% - Accent4 7 2" xfId="297"/>
    <cellStyle name="40% - Accent4 8 2" xfId="298"/>
    <cellStyle name="40% - Accent4 9 2" xfId="299"/>
    <cellStyle name="40% - Accent4_NLBU -OPERATIONS  FINANCIAL REPORT - FEB10_REV Tanya" xfId="300"/>
    <cellStyle name="40% - Accent5" xfId="301"/>
    <cellStyle name="40% - Accent5 10 2" xfId="302"/>
    <cellStyle name="40% - Accent5 11 2" xfId="303"/>
    <cellStyle name="40% - Accent5 12 2" xfId="304"/>
    <cellStyle name="40% - Accent5 13 2" xfId="305"/>
    <cellStyle name="40% - Accent5 2" xfId="306"/>
    <cellStyle name="40% - Accent5 2 2" xfId="307"/>
    <cellStyle name="40% - Accent5 2 2 2" xfId="308"/>
    <cellStyle name="40% - Accent5 2 2 2 2" xfId="309"/>
    <cellStyle name="40% - Accent5 2 2 3" xfId="310"/>
    <cellStyle name="40% - Accent5 2 3" xfId="311"/>
    <cellStyle name="40% - Accent5 2 3 2" xfId="312"/>
    <cellStyle name="40% - Accent5 3" xfId="313"/>
    <cellStyle name="40% - Accent5 4" xfId="314"/>
    <cellStyle name="40% - Accent5 5" xfId="315"/>
    <cellStyle name="40% - Accent5 5 2" xfId="316"/>
    <cellStyle name="40% - Accent5 6 2" xfId="317"/>
    <cellStyle name="40% - Accent5 7 2" xfId="318"/>
    <cellStyle name="40% - Accent5 8 2" xfId="319"/>
    <cellStyle name="40% - Accent5 9 2" xfId="320"/>
    <cellStyle name="40% - Accent5_NLBU -OPERATIONS  FINANCIAL REPORT - FEB10_REV Tanya" xfId="321"/>
    <cellStyle name="40% - Accent6" xfId="322"/>
    <cellStyle name="40% - Accent6 10 2" xfId="323"/>
    <cellStyle name="40% - Accent6 11 2" xfId="324"/>
    <cellStyle name="40% - Accent6 12 2" xfId="325"/>
    <cellStyle name="40% - Accent6 13 2" xfId="326"/>
    <cellStyle name="40% - Accent6 2" xfId="327"/>
    <cellStyle name="40% - Accent6 2 2" xfId="328"/>
    <cellStyle name="40% - Accent6 2 2 2" xfId="329"/>
    <cellStyle name="40% - Accent6 2 2 2 2" xfId="330"/>
    <cellStyle name="40% - Accent6 2 2 3" xfId="331"/>
    <cellStyle name="40% - Accent6 2 3" xfId="332"/>
    <cellStyle name="40% - Accent6 2 3 2" xfId="333"/>
    <cellStyle name="40% - Accent6 3" xfId="334"/>
    <cellStyle name="40% - Accent6 4" xfId="335"/>
    <cellStyle name="40% - Accent6 5" xfId="336"/>
    <cellStyle name="40% - Accent6 5 2" xfId="337"/>
    <cellStyle name="40% - Accent6 6 2" xfId="338"/>
    <cellStyle name="40% - Accent6 7 2" xfId="339"/>
    <cellStyle name="40% - Accent6 8 2" xfId="340"/>
    <cellStyle name="40% - Accent6 9 2" xfId="341"/>
    <cellStyle name="40% - Accent6_NLBU -OPERATIONS  FINANCIAL REPORT - FEB10_REV Tanya" xfId="342"/>
    <cellStyle name="60 % - Accent1 2" xfId="46"/>
    <cellStyle name="60 % - Accent2 2" xfId="47"/>
    <cellStyle name="60 % - Accent3 2" xfId="48"/>
    <cellStyle name="60 % - Accent4 2" xfId="49"/>
    <cellStyle name="60 % - Accent5 2" xfId="50"/>
    <cellStyle name="60 % - Accent6 2" xfId="51"/>
    <cellStyle name="60% - Accent1" xfId="343"/>
    <cellStyle name="60% - Accent1 10 2" xfId="344"/>
    <cellStyle name="60% - Accent1 11 2" xfId="345"/>
    <cellStyle name="60% - Accent1 12 2" xfId="346"/>
    <cellStyle name="60% - Accent1 13 2" xfId="347"/>
    <cellStyle name="60% - Accent1 2" xfId="348"/>
    <cellStyle name="60% - Accent1 2 2" xfId="349"/>
    <cellStyle name="60% - Accent1 2 2 2" xfId="350"/>
    <cellStyle name="60% - Accent1 2 2 2 2" xfId="351"/>
    <cellStyle name="60% - Accent1 2 2 3" xfId="352"/>
    <cellStyle name="60% - Accent1 2 3" xfId="353"/>
    <cellStyle name="60% - Accent1 2 3 2" xfId="354"/>
    <cellStyle name="60% - Accent1 3" xfId="355"/>
    <cellStyle name="60% - Accent1 4" xfId="356"/>
    <cellStyle name="60% - Accent1 5" xfId="357"/>
    <cellStyle name="60% - Accent1 5 2" xfId="358"/>
    <cellStyle name="60% - Accent1 6 2" xfId="359"/>
    <cellStyle name="60% - Accent1 7 2" xfId="360"/>
    <cellStyle name="60% - Accent1 8 2" xfId="361"/>
    <cellStyle name="60% - Accent1 9 2" xfId="362"/>
    <cellStyle name="60% - Accent1_NLBU -OPERATIONS  FINANCIAL REPORT - FEB10_REV Tanya" xfId="363"/>
    <cellStyle name="60% - Accent2" xfId="364"/>
    <cellStyle name="60% - Accent2 10 2" xfId="365"/>
    <cellStyle name="60% - Accent2 11 2" xfId="366"/>
    <cellStyle name="60% - Accent2 12 2" xfId="367"/>
    <cellStyle name="60% - Accent2 13 2" xfId="368"/>
    <cellStyle name="60% - Accent2 2" xfId="369"/>
    <cellStyle name="60% - Accent2 2 2" xfId="370"/>
    <cellStyle name="60% - Accent2 2 2 2" xfId="371"/>
    <cellStyle name="60% - Accent2 2 2 2 2" xfId="372"/>
    <cellStyle name="60% - Accent2 2 2 3" xfId="373"/>
    <cellStyle name="60% - Accent2 2 3" xfId="374"/>
    <cellStyle name="60% - Accent2 2 3 2" xfId="375"/>
    <cellStyle name="60% - Accent2 3" xfId="376"/>
    <cellStyle name="60% - Accent2 4" xfId="377"/>
    <cellStyle name="60% - Accent2 5" xfId="378"/>
    <cellStyle name="60% - Accent2 5 2" xfId="379"/>
    <cellStyle name="60% - Accent2 6 2" xfId="380"/>
    <cellStyle name="60% - Accent2 7 2" xfId="381"/>
    <cellStyle name="60% - Accent2 8 2" xfId="382"/>
    <cellStyle name="60% - Accent2 9 2" xfId="383"/>
    <cellStyle name="60% - Accent2_NLBU -OPERATIONS  FINANCIAL REPORT - FEB10_REV Tanya" xfId="384"/>
    <cellStyle name="60% - Accent3" xfId="385"/>
    <cellStyle name="60% - Accent3 10 2" xfId="386"/>
    <cellStyle name="60% - Accent3 11 2" xfId="387"/>
    <cellStyle name="60% - Accent3 12 2" xfId="388"/>
    <cellStyle name="60% - Accent3 13 2" xfId="389"/>
    <cellStyle name="60% - Accent3 2" xfId="390"/>
    <cellStyle name="60% - Accent3 2 2" xfId="391"/>
    <cellStyle name="60% - Accent3 2 2 2" xfId="392"/>
    <cellStyle name="60% - Accent3 2 2 2 2" xfId="393"/>
    <cellStyle name="60% - Accent3 2 2 3" xfId="394"/>
    <cellStyle name="60% - Accent3 2 3" xfId="395"/>
    <cellStyle name="60% - Accent3 2 3 2" xfId="396"/>
    <cellStyle name="60% - Accent3 3" xfId="397"/>
    <cellStyle name="60% - Accent3 4" xfId="398"/>
    <cellStyle name="60% - Accent3 5" xfId="399"/>
    <cellStyle name="60% - Accent3 5 2" xfId="400"/>
    <cellStyle name="60% - Accent3 6 2" xfId="401"/>
    <cellStyle name="60% - Accent3 7 2" xfId="402"/>
    <cellStyle name="60% - Accent3 8 2" xfId="403"/>
    <cellStyle name="60% - Accent3 9 2" xfId="404"/>
    <cellStyle name="60% - Accent3_NLBU -OPERATIONS  FINANCIAL REPORT - FEB10_REV Tanya" xfId="405"/>
    <cellStyle name="60% - Accent4" xfId="406"/>
    <cellStyle name="60% - Accent4 10 2" xfId="407"/>
    <cellStyle name="60% - Accent4 11 2" xfId="408"/>
    <cellStyle name="60% - Accent4 12 2" xfId="409"/>
    <cellStyle name="60% - Accent4 13 2" xfId="410"/>
    <cellStyle name="60% - Accent4 2" xfId="411"/>
    <cellStyle name="60% - Accent4 2 2" xfId="412"/>
    <cellStyle name="60% - Accent4 2 2 2" xfId="413"/>
    <cellStyle name="60% - Accent4 2 2 2 2" xfId="414"/>
    <cellStyle name="60% - Accent4 2 2 3" xfId="415"/>
    <cellStyle name="60% - Accent4 2 3" xfId="416"/>
    <cellStyle name="60% - Accent4 2 3 2" xfId="417"/>
    <cellStyle name="60% - Accent4 3" xfId="418"/>
    <cellStyle name="60% - Accent4 4" xfId="419"/>
    <cellStyle name="60% - Accent4 5" xfId="420"/>
    <cellStyle name="60% - Accent4 5 2" xfId="421"/>
    <cellStyle name="60% - Accent4 6 2" xfId="422"/>
    <cellStyle name="60% - Accent4 7 2" xfId="423"/>
    <cellStyle name="60% - Accent4 8 2" xfId="424"/>
    <cellStyle name="60% - Accent4 9 2" xfId="425"/>
    <cellStyle name="60% - Accent4_NLBU -OPERATIONS  FINANCIAL REPORT - FEB10_REV Tanya" xfId="426"/>
    <cellStyle name="60% - Accent5" xfId="427"/>
    <cellStyle name="60% - Accent5 10 2" xfId="428"/>
    <cellStyle name="60% - Accent5 11 2" xfId="429"/>
    <cellStyle name="60% - Accent5 12 2" xfId="430"/>
    <cellStyle name="60% - Accent5 13 2" xfId="431"/>
    <cellStyle name="60% - Accent5 2" xfId="432"/>
    <cellStyle name="60% - Accent5 2 2" xfId="433"/>
    <cellStyle name="60% - Accent5 2 2 2" xfId="434"/>
    <cellStyle name="60% - Accent5 2 2 2 2" xfId="435"/>
    <cellStyle name="60% - Accent5 2 2 3" xfId="436"/>
    <cellStyle name="60% - Accent5 2 3" xfId="437"/>
    <cellStyle name="60% - Accent5 2 3 2" xfId="438"/>
    <cellStyle name="60% - Accent5 3" xfId="439"/>
    <cellStyle name="60% - Accent5 4" xfId="440"/>
    <cellStyle name="60% - Accent5 5" xfId="441"/>
    <cellStyle name="60% - Accent5 5 2" xfId="442"/>
    <cellStyle name="60% - Accent5 6 2" xfId="443"/>
    <cellStyle name="60% - Accent5 7 2" xfId="444"/>
    <cellStyle name="60% - Accent5 8 2" xfId="445"/>
    <cellStyle name="60% - Accent5 9 2" xfId="446"/>
    <cellStyle name="60% - Accent5_NLBU -OPERATIONS  FINANCIAL REPORT - FEB10_REV Tanya" xfId="447"/>
    <cellStyle name="60% - Accent6" xfId="448"/>
    <cellStyle name="60% - Accent6 10 2" xfId="449"/>
    <cellStyle name="60% - Accent6 11 2" xfId="450"/>
    <cellStyle name="60% - Accent6 12 2" xfId="451"/>
    <cellStyle name="60% - Accent6 13 2" xfId="452"/>
    <cellStyle name="60% - Accent6 2" xfId="453"/>
    <cellStyle name="60% - Accent6 2 2" xfId="454"/>
    <cellStyle name="60% - Accent6 2 2 2" xfId="455"/>
    <cellStyle name="60% - Accent6 2 2 2 2" xfId="456"/>
    <cellStyle name="60% - Accent6 2 2 3" xfId="457"/>
    <cellStyle name="60% - Accent6 2 3" xfId="458"/>
    <cellStyle name="60% - Accent6 2 3 2" xfId="459"/>
    <cellStyle name="60% - Accent6 3" xfId="460"/>
    <cellStyle name="60% - Accent6 4" xfId="461"/>
    <cellStyle name="60% - Accent6 5" xfId="462"/>
    <cellStyle name="60% - Accent6 5 2" xfId="463"/>
    <cellStyle name="60% - Accent6 6 2" xfId="464"/>
    <cellStyle name="60% - Accent6 7 2" xfId="465"/>
    <cellStyle name="60% - Accent6 8 2" xfId="466"/>
    <cellStyle name="60% - Accent6 9 2" xfId="467"/>
    <cellStyle name="60% - Accent6_NLBU -OPERATIONS  FINANCIAL REPORT - FEB10_REV Tanya" xfId="468"/>
    <cellStyle name="Accent1 10 2" xfId="469"/>
    <cellStyle name="Accent1 11 2" xfId="470"/>
    <cellStyle name="Accent1 12 2" xfId="471"/>
    <cellStyle name="Accent1 13 2" xfId="472"/>
    <cellStyle name="Accent1 2" xfId="473"/>
    <cellStyle name="Accent1 2 2" xfId="474"/>
    <cellStyle name="Accent1 2 2 2" xfId="475"/>
    <cellStyle name="Accent1 2 2 2 2" xfId="476"/>
    <cellStyle name="Accent1 2 2 3" xfId="477"/>
    <cellStyle name="Accent1 2 3" xfId="478"/>
    <cellStyle name="Accent1 2 3 2" xfId="479"/>
    <cellStyle name="Accent1 3" xfId="480"/>
    <cellStyle name="Accent1 4" xfId="481"/>
    <cellStyle name="Accent1 5" xfId="482"/>
    <cellStyle name="Accent1 5 2" xfId="483"/>
    <cellStyle name="Accent1 6" xfId="52"/>
    <cellStyle name="Accent1 6 2" xfId="484"/>
    <cellStyle name="Accent1 7 2" xfId="485"/>
    <cellStyle name="Accent1 8 2" xfId="486"/>
    <cellStyle name="Accent1 9 2" xfId="487"/>
    <cellStyle name="Accent2 10 2" xfId="488"/>
    <cellStyle name="Accent2 11 2" xfId="489"/>
    <cellStyle name="Accent2 12 2" xfId="490"/>
    <cellStyle name="Accent2 13 2" xfId="491"/>
    <cellStyle name="Accent2 2" xfId="492"/>
    <cellStyle name="Accent2 2 2" xfId="493"/>
    <cellStyle name="Accent2 2 2 2" xfId="494"/>
    <cellStyle name="Accent2 2 2 2 2" xfId="495"/>
    <cellStyle name="Accent2 2 2 3" xfId="496"/>
    <cellStyle name="Accent2 2 3" xfId="497"/>
    <cellStyle name="Accent2 2 3 2" xfId="498"/>
    <cellStyle name="Accent2 3" xfId="499"/>
    <cellStyle name="Accent2 4" xfId="500"/>
    <cellStyle name="Accent2 5" xfId="501"/>
    <cellStyle name="Accent2 5 2" xfId="502"/>
    <cellStyle name="Accent2 6" xfId="53"/>
    <cellStyle name="Accent2 6 2" xfId="503"/>
    <cellStyle name="Accent2 7 2" xfId="504"/>
    <cellStyle name="Accent2 8 2" xfId="505"/>
    <cellStyle name="Accent2 9 2" xfId="506"/>
    <cellStyle name="Accent3 10 2" xfId="507"/>
    <cellStyle name="Accent3 11 2" xfId="508"/>
    <cellStyle name="Accent3 12 2" xfId="509"/>
    <cellStyle name="Accent3 13 2" xfId="510"/>
    <cellStyle name="Accent3 2" xfId="511"/>
    <cellStyle name="Accent3 2 2" xfId="512"/>
    <cellStyle name="Accent3 2 2 2" xfId="513"/>
    <cellStyle name="Accent3 2 2 2 2" xfId="514"/>
    <cellStyle name="Accent3 2 2 3" xfId="515"/>
    <cellStyle name="Accent3 2 3" xfId="516"/>
    <cellStyle name="Accent3 2 3 2" xfId="517"/>
    <cellStyle name="Accent3 3" xfId="518"/>
    <cellStyle name="Accent3 4" xfId="519"/>
    <cellStyle name="Accent3 5" xfId="520"/>
    <cellStyle name="Accent3 5 2" xfId="521"/>
    <cellStyle name="Accent3 6" xfId="54"/>
    <cellStyle name="Accent3 6 2" xfId="522"/>
    <cellStyle name="Accent3 7 2" xfId="523"/>
    <cellStyle name="Accent3 8 2" xfId="524"/>
    <cellStyle name="Accent3 9 2" xfId="525"/>
    <cellStyle name="Accent4 10 2" xfId="526"/>
    <cellStyle name="Accent4 11 2" xfId="527"/>
    <cellStyle name="Accent4 12 2" xfId="528"/>
    <cellStyle name="Accent4 13 2" xfId="529"/>
    <cellStyle name="Accent4 2" xfId="530"/>
    <cellStyle name="Accent4 2 2" xfId="531"/>
    <cellStyle name="Accent4 2 2 2" xfId="532"/>
    <cellStyle name="Accent4 2 2 2 2" xfId="533"/>
    <cellStyle name="Accent4 2 2 3" xfId="534"/>
    <cellStyle name="Accent4 2 3" xfId="535"/>
    <cellStyle name="Accent4 2 3 2" xfId="536"/>
    <cellStyle name="Accent4 3" xfId="537"/>
    <cellStyle name="Accent4 4" xfId="538"/>
    <cellStyle name="Accent4 5" xfId="539"/>
    <cellStyle name="Accent4 5 2" xfId="540"/>
    <cellStyle name="Accent4 6" xfId="55"/>
    <cellStyle name="Accent4 6 2" xfId="541"/>
    <cellStyle name="Accent4 7 2" xfId="542"/>
    <cellStyle name="Accent4 8 2" xfId="543"/>
    <cellStyle name="Accent4 9 2" xfId="544"/>
    <cellStyle name="Accent5 10 2" xfId="545"/>
    <cellStyle name="Accent5 11 2" xfId="546"/>
    <cellStyle name="Accent5 12 2" xfId="547"/>
    <cellStyle name="Accent5 13 2" xfId="548"/>
    <cellStyle name="Accent5 2" xfId="549"/>
    <cellStyle name="Accent5 2 2" xfId="550"/>
    <cellStyle name="Accent5 2 2 2" xfId="551"/>
    <cellStyle name="Accent5 2 2 2 2" xfId="552"/>
    <cellStyle name="Accent5 2 2 3" xfId="553"/>
    <cellStyle name="Accent5 2 3" xfId="554"/>
    <cellStyle name="Accent5 2 3 2" xfId="555"/>
    <cellStyle name="Accent5 3" xfId="556"/>
    <cellStyle name="Accent5 4" xfId="557"/>
    <cellStyle name="Accent5 5" xfId="558"/>
    <cellStyle name="Accent5 5 2" xfId="559"/>
    <cellStyle name="Accent5 6" xfId="56"/>
    <cellStyle name="Accent5 6 2" xfId="560"/>
    <cellStyle name="Accent5 7 2" xfId="561"/>
    <cellStyle name="Accent5 8 2" xfId="562"/>
    <cellStyle name="Accent5 9 2" xfId="563"/>
    <cellStyle name="Accent6 10 2" xfId="564"/>
    <cellStyle name="Accent6 11 2" xfId="565"/>
    <cellStyle name="Accent6 12 2" xfId="566"/>
    <cellStyle name="Accent6 13 2" xfId="567"/>
    <cellStyle name="Accent6 2" xfId="568"/>
    <cellStyle name="Accent6 2 2" xfId="569"/>
    <cellStyle name="Accent6 2 2 2" xfId="570"/>
    <cellStyle name="Accent6 2 2 2 2" xfId="571"/>
    <cellStyle name="Accent6 2 2 3" xfId="572"/>
    <cellStyle name="Accent6 2 3" xfId="573"/>
    <cellStyle name="Accent6 2 3 2" xfId="574"/>
    <cellStyle name="Accent6 3" xfId="575"/>
    <cellStyle name="Accent6 4" xfId="576"/>
    <cellStyle name="Accent6 5" xfId="577"/>
    <cellStyle name="Accent6 5 2" xfId="578"/>
    <cellStyle name="Accent6 6" xfId="57"/>
    <cellStyle name="Accent6 6 2" xfId="579"/>
    <cellStyle name="Accent6 7 2" xfId="580"/>
    <cellStyle name="Accent6 8 2" xfId="581"/>
    <cellStyle name="Accent6 9 2" xfId="582"/>
    <cellStyle name="Avertissement 2" xfId="76"/>
    <cellStyle name="Bad" xfId="583"/>
    <cellStyle name="Bad 10 2" xfId="584"/>
    <cellStyle name="Bad 11 2" xfId="585"/>
    <cellStyle name="Bad 12 2" xfId="586"/>
    <cellStyle name="Bad 13 2" xfId="587"/>
    <cellStyle name="Bad 2" xfId="588"/>
    <cellStyle name="Bad 2 2" xfId="589"/>
    <cellStyle name="Bad 2 2 2" xfId="590"/>
    <cellStyle name="Bad 2 2 2 2" xfId="591"/>
    <cellStyle name="Bad 2 2 3" xfId="592"/>
    <cellStyle name="Bad 2 3" xfId="593"/>
    <cellStyle name="Bad 2 3 2" xfId="594"/>
    <cellStyle name="Bad 3" xfId="595"/>
    <cellStyle name="Bad 4" xfId="596"/>
    <cellStyle name="Bad 5" xfId="597"/>
    <cellStyle name="Bad 5 2" xfId="598"/>
    <cellStyle name="Bad 6 2" xfId="599"/>
    <cellStyle name="Bad 7 2" xfId="600"/>
    <cellStyle name="Bad 8 2" xfId="601"/>
    <cellStyle name="Bad 9 2" xfId="602"/>
    <cellStyle name="Bad_NLBU -OPERATIONS  FINANCIAL REPORT - FEB10_REV Tanya" xfId="603"/>
    <cellStyle name="Calcul 2" xfId="59"/>
    <cellStyle name="Calculation" xfId="604"/>
    <cellStyle name="Calculation 10 2" xfId="605"/>
    <cellStyle name="Calculation 11 2" xfId="606"/>
    <cellStyle name="Calculation 12 2" xfId="607"/>
    <cellStyle name="Calculation 13 2" xfId="608"/>
    <cellStyle name="Calculation 2" xfId="609"/>
    <cellStyle name="Calculation 2 2" xfId="610"/>
    <cellStyle name="Calculation 2 2 2" xfId="611"/>
    <cellStyle name="Calculation 2 2 2 2" xfId="612"/>
    <cellStyle name="Calculation 2 2 3" xfId="613"/>
    <cellStyle name="Calculation 2 2 4" xfId="614"/>
    <cellStyle name="Calculation 2 2 5" xfId="615"/>
    <cellStyle name="Calculation 2 2 6" xfId="616"/>
    <cellStyle name="Calculation 2 3" xfId="617"/>
    <cellStyle name="Calculation 2 3 2" xfId="618"/>
    <cellStyle name="Calculation 3" xfId="619"/>
    <cellStyle name="Calculation 3 2" xfId="620"/>
    <cellStyle name="Calculation 3 3" xfId="621"/>
    <cellStyle name="Calculation 3 4" xfId="622"/>
    <cellStyle name="Calculation 3_RTD and LMU" xfId="623"/>
    <cellStyle name="Calculation 4" xfId="624"/>
    <cellStyle name="Calculation 4 2" xfId="625"/>
    <cellStyle name="Calculation 4 3" xfId="626"/>
    <cellStyle name="Calculation 4 4" xfId="627"/>
    <cellStyle name="Calculation 4_RTD and LMU" xfId="628"/>
    <cellStyle name="Calculation 5" xfId="629"/>
    <cellStyle name="Calculation 5 2" xfId="630"/>
    <cellStyle name="Calculation 6 2" xfId="631"/>
    <cellStyle name="Calculation 7 2" xfId="632"/>
    <cellStyle name="Calculation 8 2" xfId="633"/>
    <cellStyle name="Calculation 9 2" xfId="634"/>
    <cellStyle name="Calculation_HC by Dept - VP rollup Feb 2010 -  RD profile" xfId="635"/>
    <cellStyle name="Cellule liée 2" xfId="70"/>
    <cellStyle name="Check Cell" xfId="636"/>
    <cellStyle name="Check Cell 10 2" xfId="637"/>
    <cellStyle name="Check Cell 11 2" xfId="638"/>
    <cellStyle name="Check Cell 12 2" xfId="639"/>
    <cellStyle name="Check Cell 13 2" xfId="640"/>
    <cellStyle name="Check Cell 2" xfId="641"/>
    <cellStyle name="Check Cell 2 2" xfId="642"/>
    <cellStyle name="Check Cell 2 2 2" xfId="643"/>
    <cellStyle name="Check Cell 2 2 2 2" xfId="644"/>
    <cellStyle name="Check Cell 2 2 3" xfId="645"/>
    <cellStyle name="Check Cell 2 3" xfId="646"/>
    <cellStyle name="Check Cell 2 3 2" xfId="647"/>
    <cellStyle name="Check Cell 3" xfId="648"/>
    <cellStyle name="Check Cell 4" xfId="649"/>
    <cellStyle name="Check Cell 5" xfId="650"/>
    <cellStyle name="Check Cell 5 2" xfId="651"/>
    <cellStyle name="Check Cell 6 2" xfId="652"/>
    <cellStyle name="Check Cell 7 2" xfId="653"/>
    <cellStyle name="Check Cell 8 2" xfId="654"/>
    <cellStyle name="Check Cell 9 2" xfId="655"/>
    <cellStyle name="Check Cell_HC by Dept - VP rollup Feb 2010 -  RD profile" xfId="656"/>
    <cellStyle name="Comma 2" xfId="5"/>
    <cellStyle name="Comma 2 2" xfId="658"/>
    <cellStyle name="Comma 2 3" xfId="659"/>
    <cellStyle name="Comma 2 4" xfId="660"/>
    <cellStyle name="Comma 2 5" xfId="661"/>
    <cellStyle name="Comma 2 6" xfId="657"/>
    <cellStyle name="Comma 3" xfId="662"/>
    <cellStyle name="Comma 4" xfId="61"/>
    <cellStyle name="Comma 5" xfId="663"/>
    <cellStyle name="Comma_Decomm March 2010 Costflow" xfId="664"/>
    <cellStyle name="Commentaire 2" xfId="81"/>
    <cellStyle name="Commentaire 3" xfId="72"/>
    <cellStyle name="Currency 2" xfId="6"/>
    <cellStyle name="Entrée 2" xfId="69"/>
    <cellStyle name="Euro" xfId="14"/>
    <cellStyle name="Explanatory Text" xfId="665"/>
    <cellStyle name="Explanatory Text 10 2" xfId="666"/>
    <cellStyle name="Explanatory Text 11 2" xfId="667"/>
    <cellStyle name="Explanatory Text 12 2" xfId="668"/>
    <cellStyle name="Explanatory Text 13 2" xfId="669"/>
    <cellStyle name="Explanatory Text 2" xfId="670"/>
    <cellStyle name="Explanatory Text 2 2" xfId="671"/>
    <cellStyle name="Explanatory Text 2 2 2" xfId="672"/>
    <cellStyle name="Explanatory Text 2 2 2 2" xfId="673"/>
    <cellStyle name="Explanatory Text 2 2 3" xfId="674"/>
    <cellStyle name="Explanatory Text 2 3" xfId="675"/>
    <cellStyle name="Explanatory Text 2 3 2" xfId="676"/>
    <cellStyle name="Explanatory Text 3" xfId="677"/>
    <cellStyle name="Explanatory Text 4" xfId="678"/>
    <cellStyle name="Explanatory Text 5" xfId="679"/>
    <cellStyle name="Explanatory Text 5 2" xfId="680"/>
    <cellStyle name="Explanatory Text 6 2" xfId="681"/>
    <cellStyle name="Explanatory Text 7 2" xfId="682"/>
    <cellStyle name="Explanatory Text 8 2" xfId="683"/>
    <cellStyle name="Explanatory Text 9 2" xfId="684"/>
    <cellStyle name="Explanatory Text_NLBU -OPERATIONS  FINANCIAL REPORT - FEB10_REV Tanya" xfId="685"/>
    <cellStyle name="Good" xfId="686"/>
    <cellStyle name="Good 10 2" xfId="687"/>
    <cellStyle name="Good 11 2" xfId="688"/>
    <cellStyle name="Good 12 2" xfId="689"/>
    <cellStyle name="Good 13 2" xfId="690"/>
    <cellStyle name="Good 2" xfId="691"/>
    <cellStyle name="Good 2 2" xfId="692"/>
    <cellStyle name="Good 2 2 2" xfId="693"/>
    <cellStyle name="Good 2 2 2 2" xfId="694"/>
    <cellStyle name="Good 2 2 3" xfId="695"/>
    <cellStyle name="Good 2 3" xfId="696"/>
    <cellStyle name="Good 2 3 2" xfId="697"/>
    <cellStyle name="Good 3" xfId="698"/>
    <cellStyle name="Good 4" xfId="699"/>
    <cellStyle name="Good 5" xfId="700"/>
    <cellStyle name="Good 5 2" xfId="701"/>
    <cellStyle name="Good 6 2" xfId="702"/>
    <cellStyle name="Good 7 2" xfId="703"/>
    <cellStyle name="Good 8 2" xfId="704"/>
    <cellStyle name="Good 9 2" xfId="705"/>
    <cellStyle name="Good_NLBU -OPERATIONS  FINANCIAL REPORT - FEB10_REV Tanya" xfId="706"/>
    <cellStyle name="Heading 1" xfId="707"/>
    <cellStyle name="Heading 1 10 2" xfId="708"/>
    <cellStyle name="Heading 1 11 2" xfId="709"/>
    <cellStyle name="Heading 1 12 2" xfId="710"/>
    <cellStyle name="Heading 1 13 2" xfId="711"/>
    <cellStyle name="Heading 1 2 2" xfId="712"/>
    <cellStyle name="Heading 1 2 2 2" xfId="713"/>
    <cellStyle name="Heading 1 2 2 2 2" xfId="714"/>
    <cellStyle name="Heading 1 2 2 3" xfId="715"/>
    <cellStyle name="Heading 1 2 3" xfId="716"/>
    <cellStyle name="Heading 1 2 3 2" xfId="717"/>
    <cellStyle name="Heading 1 3" xfId="718"/>
    <cellStyle name="Heading 1 4" xfId="719"/>
    <cellStyle name="Heading 1 5 2" xfId="720"/>
    <cellStyle name="Heading 1 6 2" xfId="721"/>
    <cellStyle name="Heading 1 7 2" xfId="722"/>
    <cellStyle name="Heading 1 8 2" xfId="723"/>
    <cellStyle name="Heading 1 9 2" xfId="724"/>
    <cellStyle name="Heading 2" xfId="725"/>
    <cellStyle name="Heading 2 10 2" xfId="726"/>
    <cellStyle name="Heading 2 11 2" xfId="727"/>
    <cellStyle name="Heading 2 12 2" xfId="728"/>
    <cellStyle name="Heading 2 13 2" xfId="729"/>
    <cellStyle name="Heading 2 2 2" xfId="730"/>
    <cellStyle name="Heading 2 2 2 2" xfId="731"/>
    <cellStyle name="Heading 2 2 2 2 2" xfId="732"/>
    <cellStyle name="Heading 2 2 2 3" xfId="733"/>
    <cellStyle name="Heading 2 2 3" xfId="734"/>
    <cellStyle name="Heading 2 2 3 2" xfId="735"/>
    <cellStyle name="Heading 2 3" xfId="736"/>
    <cellStyle name="Heading 2 4" xfId="737"/>
    <cellStyle name="Heading 2 5 2" xfId="738"/>
    <cellStyle name="Heading 2 6 2" xfId="739"/>
    <cellStyle name="Heading 2 7 2" xfId="740"/>
    <cellStyle name="Heading 2 8 2" xfId="741"/>
    <cellStyle name="Heading 2 9 2" xfId="742"/>
    <cellStyle name="Heading 2_RTD and LMU" xfId="743"/>
    <cellStyle name="Heading 3" xfId="744"/>
    <cellStyle name="Heading 3 10 2" xfId="745"/>
    <cellStyle name="Heading 3 11 2" xfId="746"/>
    <cellStyle name="Heading 3 12 2" xfId="747"/>
    <cellStyle name="Heading 3 13 2" xfId="748"/>
    <cellStyle name="Heading 3 2 2" xfId="749"/>
    <cellStyle name="Heading 3 2 2 2" xfId="750"/>
    <cellStyle name="Heading 3 2 2 2 2" xfId="751"/>
    <cellStyle name="Heading 3 2 2 3" xfId="752"/>
    <cellStyle name="Heading 3 2 3" xfId="753"/>
    <cellStyle name="Heading 3 2 3 2" xfId="754"/>
    <cellStyle name="Heading 3 3" xfId="755"/>
    <cellStyle name="Heading 3 4" xfId="756"/>
    <cellStyle name="Heading 3 5 2" xfId="757"/>
    <cellStyle name="Heading 3 6 2" xfId="758"/>
    <cellStyle name="Heading 3 7 2" xfId="759"/>
    <cellStyle name="Heading 3 8 2" xfId="760"/>
    <cellStyle name="Heading 3 9 2" xfId="761"/>
    <cellStyle name="Heading 4" xfId="762"/>
    <cellStyle name="Heading 4 10 2" xfId="763"/>
    <cellStyle name="Heading 4 11 2" xfId="764"/>
    <cellStyle name="Heading 4 12 2" xfId="765"/>
    <cellStyle name="Heading 4 13 2" xfId="766"/>
    <cellStyle name="Heading 4 2 2" xfId="767"/>
    <cellStyle name="Heading 4 2 2 2" xfId="768"/>
    <cellStyle name="Heading 4 2 2 2 2" xfId="769"/>
    <cellStyle name="Heading 4 2 2 3" xfId="770"/>
    <cellStyle name="Heading 4 2 3" xfId="771"/>
    <cellStyle name="Heading 4 2 3 2" xfId="772"/>
    <cellStyle name="Heading 4 3" xfId="773"/>
    <cellStyle name="Heading 4 4" xfId="774"/>
    <cellStyle name="Heading 4 5 2" xfId="775"/>
    <cellStyle name="Heading 4 6 2" xfId="776"/>
    <cellStyle name="Heading 4 7 2" xfId="777"/>
    <cellStyle name="Heading 4 8 2" xfId="778"/>
    <cellStyle name="Heading 4 9 2" xfId="779"/>
    <cellStyle name="HILIGHT" xfId="780"/>
    <cellStyle name="Hyperlink 2" xfId="12"/>
    <cellStyle name="Hyperlink 2 2" xfId="781"/>
    <cellStyle name="Hyperlink 3" xfId="15"/>
    <cellStyle name="Hyperlink 4" xfId="19"/>
    <cellStyle name="Hyperlink_SECOR Model Template" xfId="68"/>
    <cellStyle name="Input" xfId="782"/>
    <cellStyle name="Input 10 2" xfId="783"/>
    <cellStyle name="Input 11 2" xfId="784"/>
    <cellStyle name="Input 12 2" xfId="785"/>
    <cellStyle name="Input 13 2" xfId="786"/>
    <cellStyle name="Input 2" xfId="787"/>
    <cellStyle name="Input 2 2" xfId="788"/>
    <cellStyle name="Input 2 2 2" xfId="789"/>
    <cellStyle name="Input 2 2 2 2" xfId="790"/>
    <cellStyle name="Input 2 2 3" xfId="791"/>
    <cellStyle name="Input 2 2 4" xfId="792"/>
    <cellStyle name="Input 2 2 5" xfId="793"/>
    <cellStyle name="Input 2 2 6" xfId="794"/>
    <cellStyle name="Input 2 3" xfId="795"/>
    <cellStyle name="Input 2 3 2" xfId="796"/>
    <cellStyle name="Input 3" xfId="797"/>
    <cellStyle name="Input 3 2" xfId="798"/>
    <cellStyle name="Input 3 3" xfId="799"/>
    <cellStyle name="Input 3 4" xfId="800"/>
    <cellStyle name="Input 3_RTD and LMU" xfId="801"/>
    <cellStyle name="Input 4" xfId="802"/>
    <cellStyle name="Input 4 2" xfId="803"/>
    <cellStyle name="Input 4 3" xfId="804"/>
    <cellStyle name="Input 4 4" xfId="805"/>
    <cellStyle name="Input 4_RTD and LMU" xfId="806"/>
    <cellStyle name="Input 5" xfId="807"/>
    <cellStyle name="Input 5 2" xfId="808"/>
    <cellStyle name="Input 6 2" xfId="809"/>
    <cellStyle name="Input 7 2" xfId="810"/>
    <cellStyle name="Input 8 2" xfId="811"/>
    <cellStyle name="Input 9 2" xfId="812"/>
    <cellStyle name="Input_HC by Dept - VP rollup Feb 2010 -  RD profile" xfId="813"/>
    <cellStyle name="Insatisfaisant 2" xfId="58"/>
    <cellStyle name="Level 1" xfId="814"/>
    <cellStyle name="Level 2" xfId="815"/>
    <cellStyle name="Lien hypertexte" xfId="1247" builtinId="8"/>
    <cellStyle name="Lien hypertexte 2" xfId="89"/>
    <cellStyle name="Lien hypertexte 3" xfId="1242"/>
    <cellStyle name="Lien hypertexte 4" xfId="1246"/>
    <cellStyle name="Linked Cell" xfId="816"/>
    <cellStyle name="Linked Cell 10 2" xfId="817"/>
    <cellStyle name="Linked Cell 11 2" xfId="818"/>
    <cellStyle name="Linked Cell 12 2" xfId="819"/>
    <cellStyle name="Linked Cell 13 2" xfId="820"/>
    <cellStyle name="Linked Cell 2" xfId="821"/>
    <cellStyle name="Linked Cell 2 2" xfId="822"/>
    <cellStyle name="Linked Cell 2 2 2" xfId="823"/>
    <cellStyle name="Linked Cell 2 2 2 2" xfId="824"/>
    <cellStyle name="Linked Cell 2 2 3" xfId="825"/>
    <cellStyle name="Linked Cell 2 3" xfId="826"/>
    <cellStyle name="Linked Cell 2 3 2" xfId="827"/>
    <cellStyle name="Linked Cell 3" xfId="828"/>
    <cellStyle name="Linked Cell 4" xfId="829"/>
    <cellStyle name="Linked Cell 5" xfId="830"/>
    <cellStyle name="Linked Cell 5 2" xfId="831"/>
    <cellStyle name="Linked Cell 6 2" xfId="832"/>
    <cellStyle name="Linked Cell 7 2" xfId="833"/>
    <cellStyle name="Linked Cell 8 2" xfId="834"/>
    <cellStyle name="Linked Cell 9 2" xfId="835"/>
    <cellStyle name="Linked Cell_HC by Dept - VP rollup Feb 2010 -  RD profile" xfId="836"/>
    <cellStyle name="Milliers" xfId="3" builtinId="3"/>
    <cellStyle name="Milliers 2" xfId="90"/>
    <cellStyle name="Milliers 3" xfId="1240"/>
    <cellStyle name="Milliers 4" xfId="88"/>
    <cellStyle name="Milliers 5" xfId="77"/>
    <cellStyle name="Milliers 6" xfId="1244"/>
    <cellStyle name="Milliers 7" xfId="31"/>
    <cellStyle name="Monétaire" xfId="1" builtinId="4"/>
    <cellStyle name="Monétaire 2" xfId="9"/>
    <cellStyle name="Monétaire 3" xfId="1243"/>
    <cellStyle name="Monétaire 7" xfId="16"/>
    <cellStyle name="Neutral" xfId="837"/>
    <cellStyle name="Neutral 10 2" xfId="838"/>
    <cellStyle name="Neutral 11 2" xfId="839"/>
    <cellStyle name="Neutral 12 2" xfId="840"/>
    <cellStyle name="Neutral 13 2" xfId="841"/>
    <cellStyle name="Neutral 2" xfId="842"/>
    <cellStyle name="Neutral 2 2" xfId="843"/>
    <cellStyle name="Neutral 2 2 2" xfId="844"/>
    <cellStyle name="Neutral 2 2 2 2" xfId="845"/>
    <cellStyle name="Neutral 2 2 3" xfId="846"/>
    <cellStyle name="Neutral 2 3" xfId="847"/>
    <cellStyle name="Neutral 2 3 2" xfId="848"/>
    <cellStyle name="Neutral 3" xfId="849"/>
    <cellStyle name="Neutral 4" xfId="850"/>
    <cellStyle name="Neutral 5" xfId="851"/>
    <cellStyle name="Neutral 5 2" xfId="852"/>
    <cellStyle name="Neutral 6 2" xfId="853"/>
    <cellStyle name="Neutral 7 2" xfId="854"/>
    <cellStyle name="Neutral 8 2" xfId="855"/>
    <cellStyle name="Neutral 9 2" xfId="856"/>
    <cellStyle name="Neutral_NLBU -OPERATIONS  FINANCIAL REPORT - FEB10_REV Tanya" xfId="857"/>
    <cellStyle name="Neutre 2" xfId="71"/>
    <cellStyle name="Normal" xfId="0" builtinId="0"/>
    <cellStyle name="Normal 10" xfId="858"/>
    <cellStyle name="Normal 11" xfId="859"/>
    <cellStyle name="Normal 12" xfId="860"/>
    <cellStyle name="Normal 13" xfId="78"/>
    <cellStyle name="Normal 14" xfId="1241"/>
    <cellStyle name="Normal 2" xfId="7"/>
    <cellStyle name="Normal 2 2" xfId="861"/>
    <cellStyle name="Normal 2 2 2" xfId="862"/>
    <cellStyle name="Normal 2 2 2 2" xfId="863"/>
    <cellStyle name="Normal 2 2 2_RTD and LMU" xfId="864"/>
    <cellStyle name="Normal 2 2 3" xfId="865"/>
    <cellStyle name="Normal 2 2 4" xfId="866"/>
    <cellStyle name="Normal 2 2 5" xfId="867"/>
    <cellStyle name="Normal 2 3" xfId="868"/>
    <cellStyle name="Normal 2 4" xfId="869"/>
    <cellStyle name="Normal 2 5" xfId="870"/>
    <cellStyle name="Normal 2 6" xfId="871"/>
    <cellStyle name="Normal 2 7" xfId="872"/>
    <cellStyle name="Normal 2_Hypothèses bac roulant" xfId="1245"/>
    <cellStyle name="Normal 3" xfId="4"/>
    <cellStyle name="Normal 3 2" xfId="873"/>
    <cellStyle name="Normal 3 2 2" xfId="874"/>
    <cellStyle name="Normal 3 2 3" xfId="875"/>
    <cellStyle name="Normal 3 2 4" xfId="876"/>
    <cellStyle name="Normal 3 2 5" xfId="877"/>
    <cellStyle name="Normal 3 3" xfId="878"/>
    <cellStyle name="Normal 3 4" xfId="879"/>
    <cellStyle name="Normal 3 5" xfId="880"/>
    <cellStyle name="Normal 4" xfId="13"/>
    <cellStyle name="Normal 4 2" xfId="881"/>
    <cellStyle name="Normal 5" xfId="882"/>
    <cellStyle name="Normal 6" xfId="883"/>
    <cellStyle name="Normal 6 2" xfId="884"/>
    <cellStyle name="Normal 6 3" xfId="885"/>
    <cellStyle name="Normal 6 4" xfId="886"/>
    <cellStyle name="Normal 6 5" xfId="887"/>
    <cellStyle name="Normal 7" xfId="17"/>
    <cellStyle name="Normal 7 2" xfId="888"/>
    <cellStyle name="Normal 8" xfId="889"/>
    <cellStyle name="Normal 9" xfId="890"/>
    <cellStyle name="Note" xfId="891"/>
    <cellStyle name="Note 10 2" xfId="892"/>
    <cellStyle name="Note 11 2" xfId="893"/>
    <cellStyle name="Note 12 2" xfId="894"/>
    <cellStyle name="Note 13 2" xfId="895"/>
    <cellStyle name="Note 2" xfId="11"/>
    <cellStyle name="Note 2 2" xfId="896"/>
    <cellStyle name="Note 2 2 2" xfId="897"/>
    <cellStyle name="Note 2 2 2 2" xfId="898"/>
    <cellStyle name="Note 2 2 3" xfId="899"/>
    <cellStyle name="Note 2 2 4" xfId="900"/>
    <cellStyle name="Note 2 2 5" xfId="901"/>
    <cellStyle name="Note 2 2 6" xfId="902"/>
    <cellStyle name="Note 2 3" xfId="903"/>
    <cellStyle name="Note 2 3 2" xfId="904"/>
    <cellStyle name="Note 3" xfId="10"/>
    <cellStyle name="Note 3 2" xfId="906"/>
    <cellStyle name="Note 3 3" xfId="907"/>
    <cellStyle name="Note 3 4" xfId="908"/>
    <cellStyle name="Note 3 5" xfId="905"/>
    <cellStyle name="Note 4" xfId="909"/>
    <cellStyle name="Note 4 2" xfId="910"/>
    <cellStyle name="Note 4 3" xfId="911"/>
    <cellStyle name="Note 4 4" xfId="912"/>
    <cellStyle name="Note 5 2" xfId="913"/>
    <cellStyle name="Note 6 2" xfId="914"/>
    <cellStyle name="Note 7 2" xfId="915"/>
    <cellStyle name="Note 8 2" xfId="916"/>
    <cellStyle name="Note 9 2" xfId="917"/>
    <cellStyle name="Note_RTD and LMU" xfId="918"/>
    <cellStyle name="Output" xfId="919"/>
    <cellStyle name="Output 10 2" xfId="920"/>
    <cellStyle name="Output 11 2" xfId="921"/>
    <cellStyle name="Output 12 2" xfId="922"/>
    <cellStyle name="Output 13 2" xfId="923"/>
    <cellStyle name="Output 2" xfId="924"/>
    <cellStyle name="Output 2 2" xfId="925"/>
    <cellStyle name="Output 2 2 2" xfId="926"/>
    <cellStyle name="Output 2 2 2 2" xfId="927"/>
    <cellStyle name="Output 2 2 3" xfId="928"/>
    <cellStyle name="Output 2 2 4" xfId="929"/>
    <cellStyle name="Output 2 2 5" xfId="930"/>
    <cellStyle name="Output 2 2 6" xfId="931"/>
    <cellStyle name="Output 2 3" xfId="932"/>
    <cellStyle name="Output 2 3 2" xfId="933"/>
    <cellStyle name="Output 3" xfId="934"/>
    <cellStyle name="Output 3 2" xfId="935"/>
    <cellStyle name="Output 3 3" xfId="936"/>
    <cellStyle name="Output 3 4" xfId="937"/>
    <cellStyle name="Output 3_RTD and LMU" xfId="938"/>
    <cellStyle name="Output 4" xfId="939"/>
    <cellStyle name="Output 4 2" xfId="940"/>
    <cellStyle name="Output 4 3" xfId="941"/>
    <cellStyle name="Output 4 4" xfId="942"/>
    <cellStyle name="Output 4_RTD and LMU" xfId="943"/>
    <cellStyle name="Output 5" xfId="944"/>
    <cellStyle name="Output 5 2" xfId="945"/>
    <cellStyle name="Output 6 2" xfId="946"/>
    <cellStyle name="Output 7 2" xfId="947"/>
    <cellStyle name="Output 8 2" xfId="948"/>
    <cellStyle name="Output 9 2" xfId="949"/>
    <cellStyle name="Output Amounts" xfId="20"/>
    <cellStyle name="Output Column Headings" xfId="21"/>
    <cellStyle name="Output Line Items" xfId="22"/>
    <cellStyle name="Output Line Items 2" xfId="950"/>
    <cellStyle name="Output Line Items 3" xfId="951"/>
    <cellStyle name="Output Line Items_RTD and LMU" xfId="952"/>
    <cellStyle name="Output Report Heading" xfId="23"/>
    <cellStyle name="Output Report Title" xfId="24"/>
    <cellStyle name="Output_HC by Dept - VP rollup Feb 2010 -  RD profile" xfId="953"/>
    <cellStyle name="Percent 2" xfId="8"/>
    <cellStyle name="Percent 2 2" xfId="954"/>
    <cellStyle name="Percent 2 3" xfId="955"/>
    <cellStyle name="Percent 3" xfId="956"/>
    <cellStyle name="Percent 4" xfId="957"/>
    <cellStyle name="Pourcentage" xfId="2" builtinId="5"/>
    <cellStyle name="Pourcentage 2" xfId="18"/>
    <cellStyle name="PSChar" xfId="25"/>
    <cellStyle name="PSChar 2" xfId="82"/>
    <cellStyle name="PSDate" xfId="26"/>
    <cellStyle name="PSDate 2" xfId="83"/>
    <cellStyle name="PSDec" xfId="27"/>
    <cellStyle name="PSDec 2" xfId="84"/>
    <cellStyle name="PSHeading" xfId="28"/>
    <cellStyle name="PSHeading 2" xfId="958"/>
    <cellStyle name="PSHeading 3" xfId="85"/>
    <cellStyle name="PSHeading_RTD and LMU" xfId="959"/>
    <cellStyle name="PSInt" xfId="29"/>
    <cellStyle name="PSInt 2" xfId="86"/>
    <cellStyle name="PSSpacer" xfId="30"/>
    <cellStyle name="PSSpacer 2" xfId="87"/>
    <cellStyle name="RISKbigPercent" xfId="960"/>
    <cellStyle name="RISKbigPercent 2" xfId="961"/>
    <cellStyle name="RISKbigPercent 3" xfId="962"/>
    <cellStyle name="RISKbigPercent 4" xfId="963"/>
    <cellStyle name="RISKbigPercent 5" xfId="964"/>
    <cellStyle name="RISKbigPercent 6" xfId="965"/>
    <cellStyle name="RISKbigPercent 7" xfId="966"/>
    <cellStyle name="RISKblandrEdge" xfId="967"/>
    <cellStyle name="RISKblandrEdge 2" xfId="968"/>
    <cellStyle name="RISKblandrEdge 3" xfId="969"/>
    <cellStyle name="RISKblandrEdge 4" xfId="970"/>
    <cellStyle name="RISKblandrEdge 5" xfId="971"/>
    <cellStyle name="RISKblandrEdge 6" xfId="972"/>
    <cellStyle name="RISKblandrEdge 7" xfId="973"/>
    <cellStyle name="RISKblCorner" xfId="974"/>
    <cellStyle name="RISKblCorner 2" xfId="975"/>
    <cellStyle name="RISKblCorner 3" xfId="976"/>
    <cellStyle name="RISKblCorner 4" xfId="977"/>
    <cellStyle name="RISKblCorner 5" xfId="978"/>
    <cellStyle name="RISKblCorner 6" xfId="979"/>
    <cellStyle name="RISKblCorner 7" xfId="980"/>
    <cellStyle name="RISKbottomEdge" xfId="981"/>
    <cellStyle name="RISKbottomEdge 2" xfId="982"/>
    <cellStyle name="RISKbottomEdge 3" xfId="983"/>
    <cellStyle name="RISKbottomEdge 4" xfId="984"/>
    <cellStyle name="RISKbottomEdge 5" xfId="985"/>
    <cellStyle name="RISKbottomEdge 6" xfId="986"/>
    <cellStyle name="RISKbottomEdge 7" xfId="987"/>
    <cellStyle name="RISKbrCorner" xfId="988"/>
    <cellStyle name="RISKbrCorner 2" xfId="989"/>
    <cellStyle name="RISKbrCorner 3" xfId="990"/>
    <cellStyle name="RISKbrCorner 4" xfId="991"/>
    <cellStyle name="RISKbrCorner 5" xfId="992"/>
    <cellStyle name="RISKbrCorner 6" xfId="993"/>
    <cellStyle name="RISKbrCorner 7" xfId="994"/>
    <cellStyle name="RISKdarkBoxed" xfId="995"/>
    <cellStyle name="RISKdarkBoxed 2" xfId="996"/>
    <cellStyle name="RISKdarkBoxed 2 2" xfId="997"/>
    <cellStyle name="RISKdarkBoxed 2 3" xfId="998"/>
    <cellStyle name="RISKdarkBoxed 2 4" xfId="999"/>
    <cellStyle name="RISKdarkBoxed 3" xfId="1000"/>
    <cellStyle name="RISKdarkBoxed 4" xfId="1001"/>
    <cellStyle name="RISKdarkBoxed 5" xfId="1002"/>
    <cellStyle name="RISKdarkBoxed 6" xfId="1003"/>
    <cellStyle name="RISKdarkBoxed 7" xfId="1004"/>
    <cellStyle name="RISKdarkShade" xfId="1005"/>
    <cellStyle name="RISKdarkShade 2" xfId="1006"/>
    <cellStyle name="RISKdarkShade 3" xfId="1007"/>
    <cellStyle name="RISKdarkShade 4" xfId="1008"/>
    <cellStyle name="RISKdarkShade 5" xfId="1009"/>
    <cellStyle name="RISKdarkShade 6" xfId="1010"/>
    <cellStyle name="RISKdarkShade 7" xfId="1011"/>
    <cellStyle name="RISKdbottomEdge" xfId="1012"/>
    <cellStyle name="RISKdbottomEdge 2" xfId="1013"/>
    <cellStyle name="RISKdbottomEdge 3" xfId="1014"/>
    <cellStyle name="RISKdbottomEdge 4" xfId="1015"/>
    <cellStyle name="RISKdbottomEdge 5" xfId="1016"/>
    <cellStyle name="RISKdbottomEdge 6" xfId="1017"/>
    <cellStyle name="RISKdbottomEdge 7" xfId="1018"/>
    <cellStyle name="RISKdrightEdge" xfId="1019"/>
    <cellStyle name="RISKdrightEdge 2" xfId="1020"/>
    <cellStyle name="RISKdrightEdge 3" xfId="1021"/>
    <cellStyle name="RISKdrightEdge 4" xfId="1022"/>
    <cellStyle name="RISKdrightEdge 5" xfId="1023"/>
    <cellStyle name="RISKdrightEdge 6" xfId="1024"/>
    <cellStyle name="RISKdrightEdge 7" xfId="1025"/>
    <cellStyle name="RISKdurationTime" xfId="1026"/>
    <cellStyle name="RISKdurationTime 2" xfId="1027"/>
    <cellStyle name="RISKdurationTime 3" xfId="1028"/>
    <cellStyle name="RISKdurationTime 4" xfId="1029"/>
    <cellStyle name="RISKdurationTime 5" xfId="1030"/>
    <cellStyle name="RISKdurationTime 6" xfId="1031"/>
    <cellStyle name="RISKdurationTime 7" xfId="1032"/>
    <cellStyle name="RISKinNumber" xfId="1033"/>
    <cellStyle name="RISKlandrEdge" xfId="1034"/>
    <cellStyle name="RISKlandrEdge 2" xfId="1035"/>
    <cellStyle name="RISKlandrEdge 3" xfId="1036"/>
    <cellStyle name="RISKlandrEdge 4" xfId="1037"/>
    <cellStyle name="RISKlandrEdge 5" xfId="1038"/>
    <cellStyle name="RISKlandrEdge 6" xfId="1039"/>
    <cellStyle name="RISKlandrEdge 7" xfId="1040"/>
    <cellStyle name="RISKleftEdge" xfId="1041"/>
    <cellStyle name="RISKleftEdge 2" xfId="1042"/>
    <cellStyle name="RISKleftEdge 3" xfId="1043"/>
    <cellStyle name="RISKleftEdge 4" xfId="1044"/>
    <cellStyle name="RISKleftEdge 5" xfId="1045"/>
    <cellStyle name="RISKleftEdge 6" xfId="1046"/>
    <cellStyle name="RISKleftEdge 7" xfId="1047"/>
    <cellStyle name="RISKlightBoxed" xfId="1048"/>
    <cellStyle name="RISKlightBoxed 2" xfId="1049"/>
    <cellStyle name="RISKlightBoxed 2 2" xfId="1050"/>
    <cellStyle name="RISKlightBoxed 2 3" xfId="1051"/>
    <cellStyle name="RISKlightBoxed 2 4" xfId="1052"/>
    <cellStyle name="RISKlightBoxed 3" xfId="1053"/>
    <cellStyle name="RISKlightBoxed 4" xfId="1054"/>
    <cellStyle name="RISKlightBoxed 5" xfId="1055"/>
    <cellStyle name="RISKlightBoxed 6" xfId="1056"/>
    <cellStyle name="RISKlightBoxed 7" xfId="1057"/>
    <cellStyle name="RISKltandbEdge" xfId="1058"/>
    <cellStyle name="RISKltandbEdge 2" xfId="1059"/>
    <cellStyle name="RISKltandbEdge 2 2" xfId="1060"/>
    <cellStyle name="RISKltandbEdge 2 3" xfId="1061"/>
    <cellStyle name="RISKltandbEdge 2 4" xfId="1062"/>
    <cellStyle name="RISKltandbEdge 3" xfId="1063"/>
    <cellStyle name="RISKltandbEdge 4" xfId="1064"/>
    <cellStyle name="RISKltandbEdge 5" xfId="1065"/>
    <cellStyle name="RISKltandbEdge 6" xfId="1066"/>
    <cellStyle name="RISKltandbEdge 7" xfId="1067"/>
    <cellStyle name="RISKnormBoxed" xfId="1068"/>
    <cellStyle name="RISKnormBoxed 2" xfId="1069"/>
    <cellStyle name="RISKnormBoxed 2 2" xfId="1070"/>
    <cellStyle name="RISKnormBoxed 2 3" xfId="1071"/>
    <cellStyle name="RISKnormBoxed 2 4" xfId="1072"/>
    <cellStyle name="RISKnormBoxed 3" xfId="1073"/>
    <cellStyle name="RISKnormBoxed 4" xfId="1074"/>
    <cellStyle name="RISKnormBoxed 5" xfId="1075"/>
    <cellStyle name="RISKnormBoxed 6" xfId="1076"/>
    <cellStyle name="RISKnormBoxed 7" xfId="1077"/>
    <cellStyle name="RISKnormCenter" xfId="1078"/>
    <cellStyle name="RISKnormCenter 2" xfId="1079"/>
    <cellStyle name="RISKnormCenter 3" xfId="1080"/>
    <cellStyle name="RISKnormCenter 4" xfId="1081"/>
    <cellStyle name="RISKnormCenter 5" xfId="1082"/>
    <cellStyle name="RISKnormCenter 6" xfId="1083"/>
    <cellStyle name="RISKnormCenter 7" xfId="1084"/>
    <cellStyle name="RISKnormHeading" xfId="1085"/>
    <cellStyle name="RISKnormItal" xfId="1086"/>
    <cellStyle name="RISKnormLabel" xfId="1087"/>
    <cellStyle name="RISKnormShade" xfId="1088"/>
    <cellStyle name="RISKnormShade 2" xfId="1089"/>
    <cellStyle name="RISKnormShade 3" xfId="1090"/>
    <cellStyle name="RISKnormShade 4" xfId="1091"/>
    <cellStyle name="RISKnormShade 5" xfId="1092"/>
    <cellStyle name="RISKnormShade 6" xfId="1093"/>
    <cellStyle name="RISKnormShade 7" xfId="1094"/>
    <cellStyle name="RISKnormTitle" xfId="1095"/>
    <cellStyle name="RISKoutNumber" xfId="1096"/>
    <cellStyle name="RISKrightEdge" xfId="1097"/>
    <cellStyle name="RISKrightEdge 2" xfId="1098"/>
    <cellStyle name="RISKrightEdge 3" xfId="1099"/>
    <cellStyle name="RISKrightEdge 4" xfId="1100"/>
    <cellStyle name="RISKrightEdge 5" xfId="1101"/>
    <cellStyle name="RISKrightEdge 6" xfId="1102"/>
    <cellStyle name="RISKrightEdge 7" xfId="1103"/>
    <cellStyle name="RISKrtandbEdge" xfId="1104"/>
    <cellStyle name="RISKrtandbEdge 2" xfId="1105"/>
    <cellStyle name="RISKrtandbEdge 2 2" xfId="1106"/>
    <cellStyle name="RISKrtandbEdge 2 3" xfId="1107"/>
    <cellStyle name="RISKrtandbEdge 2 4" xfId="1108"/>
    <cellStyle name="RISKrtandbEdge 3" xfId="1109"/>
    <cellStyle name="RISKrtandbEdge 4" xfId="1110"/>
    <cellStyle name="RISKrtandbEdge 5" xfId="1111"/>
    <cellStyle name="RISKrtandbEdge 6" xfId="1112"/>
    <cellStyle name="RISKrtandbEdge 7" xfId="1113"/>
    <cellStyle name="RISKssTime" xfId="1114"/>
    <cellStyle name="RISKssTime 2" xfId="1115"/>
    <cellStyle name="RISKssTime 3" xfId="1116"/>
    <cellStyle name="RISKssTime 4" xfId="1117"/>
    <cellStyle name="RISKssTime 5" xfId="1118"/>
    <cellStyle name="RISKssTime 6" xfId="1119"/>
    <cellStyle name="RISKssTime 7" xfId="1120"/>
    <cellStyle name="RISKtandbEdge" xfId="1121"/>
    <cellStyle name="RISKtandbEdge 2" xfId="1122"/>
    <cellStyle name="RISKtandbEdge 2 2" xfId="1123"/>
    <cellStyle name="RISKtandbEdge 2 3" xfId="1124"/>
    <cellStyle name="RISKtandbEdge 2 4" xfId="1125"/>
    <cellStyle name="RISKtandbEdge 3" xfId="1126"/>
    <cellStyle name="RISKtandbEdge 4" xfId="1127"/>
    <cellStyle name="RISKtandbEdge 5" xfId="1128"/>
    <cellStyle name="RISKtandbEdge 6" xfId="1129"/>
    <cellStyle name="RISKtandbEdge 7" xfId="1130"/>
    <cellStyle name="RISKtlandrEdge" xfId="1131"/>
    <cellStyle name="RISKtlandrEdge 2" xfId="1132"/>
    <cellStyle name="RISKtlandrEdge 2 2" xfId="1133"/>
    <cellStyle name="RISKtlandrEdge 2 3" xfId="1134"/>
    <cellStyle name="RISKtlandrEdge 2 4" xfId="1135"/>
    <cellStyle name="RISKtlandrEdge 3" xfId="1136"/>
    <cellStyle name="RISKtlandrEdge 4" xfId="1137"/>
    <cellStyle name="RISKtlandrEdge 5" xfId="1138"/>
    <cellStyle name="RISKtlandrEdge 6" xfId="1139"/>
    <cellStyle name="RISKtlandrEdge 7" xfId="1140"/>
    <cellStyle name="RISKtlCorner" xfId="1141"/>
    <cellStyle name="RISKtlCorner 2" xfId="1142"/>
    <cellStyle name="RISKtlCorner 2 2" xfId="1143"/>
    <cellStyle name="RISKtlCorner 2 3" xfId="1144"/>
    <cellStyle name="RISKtlCorner 2 4" xfId="1145"/>
    <cellStyle name="RISKtlCorner 3" xfId="1146"/>
    <cellStyle name="RISKtlCorner 4" xfId="1147"/>
    <cellStyle name="RISKtlCorner 5" xfId="1148"/>
    <cellStyle name="RISKtlCorner 6" xfId="1149"/>
    <cellStyle name="RISKtlCorner 7" xfId="1150"/>
    <cellStyle name="RISKtopEdge" xfId="1151"/>
    <cellStyle name="RISKtopEdge 2" xfId="1152"/>
    <cellStyle name="RISKtopEdge 2 2" xfId="1153"/>
    <cellStyle name="RISKtopEdge 2 3" xfId="1154"/>
    <cellStyle name="RISKtopEdge 2 4" xfId="1155"/>
    <cellStyle name="RISKtopEdge 3" xfId="1156"/>
    <cellStyle name="RISKtopEdge 4" xfId="1157"/>
    <cellStyle name="RISKtopEdge 5" xfId="1158"/>
    <cellStyle name="RISKtopEdge 6" xfId="1159"/>
    <cellStyle name="RISKtopEdge 7" xfId="1160"/>
    <cellStyle name="RISKtrCorner" xfId="1161"/>
    <cellStyle name="RISKtrCorner 2" xfId="1162"/>
    <cellStyle name="RISKtrCorner 2 2" xfId="1163"/>
    <cellStyle name="RISKtrCorner 2 3" xfId="1164"/>
    <cellStyle name="RISKtrCorner 2 4" xfId="1165"/>
    <cellStyle name="RISKtrCorner 3" xfId="1166"/>
    <cellStyle name="RISKtrCorner 4" xfId="1167"/>
    <cellStyle name="RISKtrCorner 5" xfId="1168"/>
    <cellStyle name="RISKtrCorner 6" xfId="1169"/>
    <cellStyle name="RISKtrCorner 7" xfId="1170"/>
    <cellStyle name="Satisfaisant 2" xfId="63"/>
    <cellStyle name="Sortie 2" xfId="73"/>
    <cellStyle name="Texte explicatif 2" xfId="62"/>
    <cellStyle name="Title" xfId="1171"/>
    <cellStyle name="Title 10 2" xfId="1172"/>
    <cellStyle name="Title 11 2" xfId="1173"/>
    <cellStyle name="Title 12 2" xfId="1174"/>
    <cellStyle name="Title 13 2" xfId="1175"/>
    <cellStyle name="Title 2 2" xfId="1176"/>
    <cellStyle name="Title 2 2 2" xfId="1177"/>
    <cellStyle name="Title 2 2 2 2" xfId="1178"/>
    <cellStyle name="Title 2 2 3" xfId="1179"/>
    <cellStyle name="Title 2 3" xfId="1180"/>
    <cellStyle name="Title 2 3 2" xfId="1181"/>
    <cellStyle name="Title 3" xfId="1182"/>
    <cellStyle name="Title 4" xfId="1183"/>
    <cellStyle name="Title 5 2" xfId="1184"/>
    <cellStyle name="Title 6 2" xfId="1185"/>
    <cellStyle name="Title 7 2" xfId="1186"/>
    <cellStyle name="Title 8 2" xfId="1187"/>
    <cellStyle name="Title 9 2" xfId="1188"/>
    <cellStyle name="Titre 2" xfId="74"/>
    <cellStyle name="Titre 1 2" xfId="64"/>
    <cellStyle name="Titre 2 2" xfId="65"/>
    <cellStyle name="Titre 3 2" xfId="66"/>
    <cellStyle name="Titre 4 2" xfId="67"/>
    <cellStyle name="Total 10 2" xfId="1189"/>
    <cellStyle name="Total 11 2" xfId="1190"/>
    <cellStyle name="Total 12 2" xfId="1191"/>
    <cellStyle name="Total 13 2" xfId="1192"/>
    <cellStyle name="Total 2" xfId="1193"/>
    <cellStyle name="Total 2 2" xfId="1194"/>
    <cellStyle name="Total 2 2 2" xfId="1195"/>
    <cellStyle name="Total 2 2 2 2" xfId="1196"/>
    <cellStyle name="Total 2 2 3" xfId="1197"/>
    <cellStyle name="Total 2 2 4" xfId="1198"/>
    <cellStyle name="Total 2 2 5" xfId="1199"/>
    <cellStyle name="Total 2 2 6" xfId="1200"/>
    <cellStyle name="Total 2 3" xfId="1201"/>
    <cellStyle name="Total 2 3 2" xfId="1202"/>
    <cellStyle name="Total 3" xfId="1203"/>
    <cellStyle name="Total 3 2" xfId="1204"/>
    <cellStyle name="Total 3 3" xfId="1205"/>
    <cellStyle name="Total 3 4" xfId="1206"/>
    <cellStyle name="Total 3_RTD and LMU" xfId="1207"/>
    <cellStyle name="Total 4" xfId="1208"/>
    <cellStyle name="Total 4 2" xfId="1209"/>
    <cellStyle name="Total 4 3" xfId="1210"/>
    <cellStyle name="Total 4 4" xfId="1211"/>
    <cellStyle name="Total 4_RTD and LMU" xfId="1212"/>
    <cellStyle name="Total 5" xfId="1213"/>
    <cellStyle name="Total 5 2" xfId="1214"/>
    <cellStyle name="Total 6" xfId="75"/>
    <cellStyle name="Total 6 2" xfId="1215"/>
    <cellStyle name="Total 7 2" xfId="1216"/>
    <cellStyle name="Total 8 2" xfId="1217"/>
    <cellStyle name="Total 9 2" xfId="1218"/>
    <cellStyle name="Vérification 2" xfId="60"/>
    <cellStyle name="Warning Text" xfId="1219"/>
    <cellStyle name="Warning Text 10 2" xfId="1220"/>
    <cellStyle name="Warning Text 11 2" xfId="1221"/>
    <cellStyle name="Warning Text 12 2" xfId="1222"/>
    <cellStyle name="Warning Text 13 2" xfId="1223"/>
    <cellStyle name="Warning Text 2" xfId="1224"/>
    <cellStyle name="Warning Text 2 2" xfId="1225"/>
    <cellStyle name="Warning Text 2 2 2" xfId="1226"/>
    <cellStyle name="Warning Text 2 2 2 2" xfId="1227"/>
    <cellStyle name="Warning Text 2 2 3" xfId="1228"/>
    <cellStyle name="Warning Text 2 3" xfId="1229"/>
    <cellStyle name="Warning Text 2 3 2" xfId="1230"/>
    <cellStyle name="Warning Text 3" xfId="1231"/>
    <cellStyle name="Warning Text 4" xfId="1232"/>
    <cellStyle name="Warning Text 5" xfId="1233"/>
    <cellStyle name="Warning Text 5 2" xfId="1234"/>
    <cellStyle name="Warning Text 6 2" xfId="1235"/>
    <cellStyle name="Warning Text 7 2" xfId="1236"/>
    <cellStyle name="Warning Text 8 2" xfId="1237"/>
    <cellStyle name="Warning Text 9 2" xfId="1238"/>
    <cellStyle name="Warning Text_NLBU -OPERATIONS  FINANCIAL REPORT - FEB10_REV Tanya" xfId="1239"/>
  </cellStyles>
  <dxfs count="39">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1" formatCode="#,##0.00\ &quot;$&quot;_);\(#,##0.00\ &quot;$&quot;\)"/>
      <fill>
        <patternFill patternType="solid">
          <fgColor indexed="64"/>
          <bgColor theme="0"/>
        </patternFill>
      </fill>
      <alignment horizontal="left" vertical="bottom" textRotation="0" wrapText="0" relative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9" formatCode="#,##0\ &quot;$&quot;_);\(#,##0\ &quot;$&quot;\)"/>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167" formatCode="0.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relativeIndent="1" justifyLastLine="0" shrinkToFit="0" readingOrder="0"/>
    </dxf>
    <dxf>
      <font>
        <b/>
        <i val="0"/>
        <strike val="0"/>
        <condense val="0"/>
        <extend val="0"/>
        <outline val="0"/>
        <shadow val="0"/>
        <u val="none"/>
        <vertAlign val="baseline"/>
        <sz val="11"/>
        <color theme="1"/>
        <name val="Arial"/>
        <scheme val="none"/>
      </font>
      <numFmt numFmtId="3" formatCode="#,##0"/>
      <fill>
        <patternFill patternType="solid">
          <fgColor indexed="64"/>
          <bgColor theme="0"/>
        </patternFill>
      </fill>
      <alignment horizontal="right" vertical="bottom" textRotation="0" wrapText="0" indent="1" justifyLastLine="0" shrinkToFit="0" readingOrder="0"/>
    </dxf>
    <dxf>
      <font>
        <b val="0"/>
        <i val="0"/>
        <strike val="0"/>
        <condense val="0"/>
        <extend val="0"/>
        <outline val="0"/>
        <shadow val="0"/>
        <u val="none"/>
        <vertAlign val="baseline"/>
        <sz val="11"/>
        <color theme="1"/>
        <name val="Arial"/>
        <scheme val="none"/>
      </font>
      <numFmt numFmtId="0" formatCode="General"/>
      <fill>
        <patternFill patternType="solid">
          <fgColor indexed="64"/>
          <bgColor theme="0"/>
        </patternFill>
      </fill>
      <alignment horizontal="right" vertical="bottom" textRotation="0" wrapText="0" indent="1" justifyLastLine="0" shrinkToFit="0" readingOrder="0"/>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fill>
        <patternFill patternType="solid">
          <fgColor indexed="64"/>
          <bgColor theme="0"/>
        </patternFill>
      </fill>
    </dxf>
    <dxf>
      <font>
        <b/>
      </font>
    </dxf>
    <dxf>
      <font>
        <b val="0"/>
        <i val="0"/>
        <strike val="0"/>
        <condense val="0"/>
        <extend val="0"/>
        <outline val="0"/>
        <shadow val="0"/>
        <u val="none"/>
        <vertAlign val="baseline"/>
        <sz val="11"/>
        <color theme="1"/>
        <name val="Arial"/>
        <scheme val="none"/>
      </font>
      <fill>
        <patternFill patternType="solid">
          <fgColor indexed="64"/>
          <bgColor theme="0"/>
        </patternFill>
      </fill>
    </dxf>
    <dxf>
      <font>
        <b val="0"/>
        <i val="0"/>
        <strike val="0"/>
        <condense val="0"/>
        <extend val="0"/>
        <outline val="0"/>
        <shadow val="0"/>
        <u val="none"/>
        <vertAlign val="baseline"/>
        <sz val="11"/>
        <color theme="1"/>
        <name val="Arial"/>
        <scheme val="none"/>
      </font>
      <alignment horizontal="general" vertical="top" textRotation="0" wrapText="1" indent="0" justifyLastLine="0" shrinkToFit="0" readingOrder="0"/>
    </dxf>
    <dxf>
      <fill>
        <patternFill patternType="lightUp">
          <fgColor theme="2" tint="-0.499984740745262"/>
        </patternFill>
      </fill>
    </dxf>
    <dxf>
      <fill>
        <patternFill patternType="lightUp">
          <fgColor theme="2" tint="-0.499984740745262"/>
        </patternFill>
      </fill>
    </dxf>
  </dxfs>
  <tableStyles count="0" defaultTableStyle="TableStyleMedium2" defaultPivotStyle="PivotStyleLight16"/>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63500</xdr:rowOff>
    </xdr:from>
    <xdr:to>
      <xdr:col>14</xdr:col>
      <xdr:colOff>423805</xdr:colOff>
      <xdr:row>39</xdr:row>
      <xdr:rowOff>159800</xdr:rowOff>
    </xdr:to>
    <xdr:pic>
      <xdr:nvPicPr>
        <xdr:cNvPr id="2" name="Image 1"/>
        <xdr:cNvPicPr>
          <a:picLocks noChangeAspect="1"/>
        </xdr:cNvPicPr>
      </xdr:nvPicPr>
      <xdr:blipFill>
        <a:blip xmlns:r="http://schemas.openxmlformats.org/officeDocument/2006/relationships" r:embed="rId1"/>
        <a:stretch>
          <a:fillRect/>
        </a:stretch>
      </xdr:blipFill>
      <xdr:spPr>
        <a:xfrm>
          <a:off x="127000" y="63500"/>
          <a:ext cx="10964805" cy="7525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214313</xdr:colOff>
      <xdr:row>15</xdr:row>
      <xdr:rowOff>142876</xdr:rowOff>
    </xdr:from>
    <xdr:ext cx="14707293" cy="2690929"/>
    <xdr:sp macro="" textlink="Parameters!$B$81">
      <xdr:nvSpPr>
        <xdr:cNvPr id="3" name="Rectangle 2"/>
        <xdr:cNvSpPr/>
      </xdr:nvSpPr>
      <xdr:spPr>
        <a:xfrm rot="-1080000">
          <a:off x="214313" y="3536157"/>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55858</xdr:colOff>
      <xdr:row>17</xdr:row>
      <xdr:rowOff>142875</xdr:rowOff>
    </xdr:from>
    <xdr:ext cx="14707293" cy="2690929"/>
    <xdr:sp macro="" textlink="Parameters!$B$81">
      <xdr:nvSpPr>
        <xdr:cNvPr id="3" name="Rectangle 2"/>
        <xdr:cNvSpPr/>
      </xdr:nvSpPr>
      <xdr:spPr>
        <a:xfrm rot="-1080000">
          <a:off x="55858" y="3821906"/>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186827</xdr:colOff>
      <xdr:row>16</xdr:row>
      <xdr:rowOff>35718</xdr:rowOff>
    </xdr:from>
    <xdr:ext cx="14707293" cy="2690929"/>
    <xdr:sp macro="" textlink="Parameters!$B$81">
      <xdr:nvSpPr>
        <xdr:cNvPr id="2" name="Rectangle 1"/>
        <xdr:cNvSpPr/>
      </xdr:nvSpPr>
      <xdr:spPr>
        <a:xfrm rot="-1080000">
          <a:off x="186827" y="3548062"/>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420688</xdr:colOff>
      <xdr:row>10</xdr:row>
      <xdr:rowOff>13229</xdr:rowOff>
    </xdr:from>
    <xdr:ext cx="14707293" cy="2690929"/>
    <xdr:sp macro="" textlink="Parameters!$B$81">
      <xdr:nvSpPr>
        <xdr:cNvPr id="3" name="Rectangle 2"/>
        <xdr:cNvSpPr/>
      </xdr:nvSpPr>
      <xdr:spPr>
        <a:xfrm rot="-1080000">
          <a:off x="515938" y="2227792"/>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750093</xdr:colOff>
      <xdr:row>14</xdr:row>
      <xdr:rowOff>130969</xdr:rowOff>
    </xdr:from>
    <xdr:ext cx="14707293" cy="2690929"/>
    <xdr:sp macro="" textlink="Parameters!$B$81">
      <xdr:nvSpPr>
        <xdr:cNvPr id="3" name="Rectangle 2"/>
        <xdr:cNvSpPr/>
      </xdr:nvSpPr>
      <xdr:spPr>
        <a:xfrm rot="-1080000">
          <a:off x="916781" y="359568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55858</xdr:colOff>
      <xdr:row>17</xdr:row>
      <xdr:rowOff>134864</xdr:rowOff>
    </xdr:from>
    <xdr:ext cx="14707293" cy="2690929"/>
    <xdr:sp macro="" textlink="Parameters!$B$81">
      <xdr:nvSpPr>
        <xdr:cNvPr id="3" name="Rectangle 2"/>
        <xdr:cNvSpPr/>
      </xdr:nvSpPr>
      <xdr:spPr>
        <a:xfrm rot="-1080000">
          <a:off x="55858" y="395677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55858</xdr:colOff>
      <xdr:row>13</xdr:row>
      <xdr:rowOff>201080</xdr:rowOff>
    </xdr:from>
    <xdr:ext cx="14707293" cy="2690929"/>
    <xdr:sp macro="" textlink="Parameters!$B$81">
      <xdr:nvSpPr>
        <xdr:cNvPr id="3" name="Rectangle 2"/>
        <xdr:cNvSpPr/>
      </xdr:nvSpPr>
      <xdr:spPr>
        <a:xfrm rot="-1080000">
          <a:off x="55858" y="277283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55858</xdr:colOff>
      <xdr:row>10</xdr:row>
      <xdr:rowOff>127000</xdr:rowOff>
    </xdr:from>
    <xdr:ext cx="14707293" cy="2690929"/>
    <xdr:sp macro="" textlink="Parameters!$B$81">
      <xdr:nvSpPr>
        <xdr:cNvPr id="3" name="Rectangle 2"/>
        <xdr:cNvSpPr/>
      </xdr:nvSpPr>
      <xdr:spPr>
        <a:xfrm rot="-1080000">
          <a:off x="55858" y="273050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55857</xdr:colOff>
      <xdr:row>12</xdr:row>
      <xdr:rowOff>25325</xdr:rowOff>
    </xdr:from>
    <xdr:ext cx="14707293" cy="2690929"/>
    <xdr:sp macro="" textlink="Parameters!$B$81">
      <xdr:nvSpPr>
        <xdr:cNvPr id="3" name="Rectangle 2"/>
        <xdr:cNvSpPr/>
      </xdr:nvSpPr>
      <xdr:spPr>
        <a:xfrm rot="-1080000">
          <a:off x="5585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55858</xdr:colOff>
      <xdr:row>14</xdr:row>
      <xdr:rowOff>148168</xdr:rowOff>
    </xdr:from>
    <xdr:ext cx="14707293" cy="2690929"/>
    <xdr:sp macro="" textlink="Parameters!$B$81">
      <xdr:nvSpPr>
        <xdr:cNvPr id="3" name="Rectangle 2"/>
        <xdr:cNvSpPr/>
      </xdr:nvSpPr>
      <xdr:spPr>
        <a:xfrm rot="-1080000">
          <a:off x="55858" y="2624668"/>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783167</xdr:colOff>
      <xdr:row>10</xdr:row>
      <xdr:rowOff>58133</xdr:rowOff>
    </xdr:from>
    <xdr:ext cx="14707293" cy="2690929"/>
    <xdr:sp macro="" textlink="Parameters!$B$81">
      <xdr:nvSpPr>
        <xdr:cNvPr id="3" name="Rectangle 2"/>
        <xdr:cNvSpPr/>
      </xdr:nvSpPr>
      <xdr:spPr>
        <a:xfrm rot="-1080000">
          <a:off x="973667" y="2206550"/>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169847</xdr:colOff>
      <xdr:row>15</xdr:row>
      <xdr:rowOff>160305</xdr:rowOff>
    </xdr:from>
    <xdr:ext cx="14707293" cy="2690929"/>
    <xdr:sp macro="" textlink="Parameters!$B$81">
      <xdr:nvSpPr>
        <xdr:cNvPr id="2" name="Rectangle 1"/>
        <xdr:cNvSpPr/>
      </xdr:nvSpPr>
      <xdr:spPr>
        <a:xfrm rot="-1080000">
          <a:off x="169847" y="349405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55858</xdr:colOff>
      <xdr:row>14</xdr:row>
      <xdr:rowOff>154781</xdr:rowOff>
    </xdr:from>
    <xdr:ext cx="14707293" cy="2690929"/>
    <xdr:sp macro="" textlink="Parameters!$B$81">
      <xdr:nvSpPr>
        <xdr:cNvPr id="3" name="Rectangle 2"/>
        <xdr:cNvSpPr/>
      </xdr:nvSpPr>
      <xdr:spPr>
        <a:xfrm rot="-1080000">
          <a:off x="55858" y="3286125"/>
          <a:ext cx="14707293" cy="2690929"/>
        </a:xfrm>
        <a:prstGeom prst="rect">
          <a:avLst/>
        </a:prstGeom>
        <a:noFill/>
      </xdr:spPr>
      <xdr:txBody>
        <a:bodyPr wrap="square" lIns="91440" tIns="45720" rIns="91440" bIns="45720">
          <a:spAutoFit/>
        </a:bodyPr>
        <a:lstStyle/>
        <a:p>
          <a:pPr algn="ctr"/>
          <a:fld id="{CFB4C3AA-01F2-47C6-82E2-D1F464A52C1B}" type="TxLink">
            <a:rPr lang="en-US" sz="16600" b="1" i="0" u="none" strike="noStrike" cap="none" spc="50" baseline="0">
              <a:ln w="9525" cmpd="sng">
                <a:solidFill>
                  <a:schemeClr val="accent1"/>
                </a:solidFill>
                <a:prstDash val="solid"/>
              </a:ln>
              <a:noFill/>
              <a:effectLst>
                <a:glow rad="38100">
                  <a:schemeClr val="accent1">
                    <a:alpha val="40000"/>
                  </a:schemeClr>
                </a:glow>
              </a:effectLst>
              <a:latin typeface="Arial"/>
              <a:cs typeface="Arial"/>
            </a:rPr>
            <a:pPr algn="ctr"/>
            <a:t> </a:t>
          </a:fld>
          <a:endParaRPr lang="fr-FR" sz="400000" b="1" cap="none" spc="50" baseline="0">
            <a:ln w="9525" cmpd="sng">
              <a:solidFill>
                <a:schemeClr val="accent1"/>
              </a:solidFill>
              <a:prstDash val="solid"/>
            </a:ln>
            <a:noFill/>
            <a:effectLst>
              <a:glow rad="38100">
                <a:schemeClr val="accent1">
                  <a:alpha val="40000"/>
                </a:schemeClr>
              </a:glow>
            </a:effectLst>
          </a:endParaRPr>
        </a:p>
      </xdr:txBody>
    </xdr:sp>
    <xdr:clientData/>
  </xdr:oneCellAnchor>
</xdr:wsDr>
</file>

<file path=xl/tables/table1.xml><?xml version="1.0" encoding="utf-8"?>
<table xmlns="http://schemas.openxmlformats.org/spreadsheetml/2006/main" id="1" name="tblMatières" displayName="tblMatières" ref="B4:R35" totalsRowCount="1" headerRowDxfId="36" dataDxfId="35" totalsRowDxfId="34">
  <autoFilter ref="B4:R34"/>
  <tableColumns count="17">
    <tableColumn id="2" name="Class" totalsRowLabel="Total" dataDxfId="33" totalsRowDxfId="32"/>
    <tableColumn id="3" name="Sub-class" dataDxfId="31" totalsRowDxfId="30"/>
    <tableColumn id="1" name="Material" dataDxfId="29" totalsRowDxfId="28"/>
    <tableColumn id="26" name="Order" dataDxfId="27" totalsRowDxfId="26"/>
    <tableColumn id="4" name="Nb reportings" totalsRowFunction="sum" dataDxfId="25" totalsRowDxfId="24">
      <calculatedColumnFormula>INDEX(rgDéclaration_NbDécl,MATCH(tblMatières[[#This Row],[Material]],rgDéclaration_Matières,0))</calculatedColumnFormula>
    </tableColumn>
    <tableColumn id="5" name="Reported quantity net (kg)" totalsRowFunction="sum" dataDxfId="23" totalsRowDxfId="22">
      <calculatedColumnFormula>INT(INDEX(rgDéclaration_QtéFinale,MATCH(tblMatières[[#This Row],[Material]],rgDéclaration_Matières,0)))</calculatedColumnFormula>
    </tableColumn>
    <tableColumn id="6" name="Reported quantity (tonnes)" totalsRowFunction="sum" dataDxfId="21" totalsRowDxfId="20">
      <calculatedColumnFormula>tblMatières[[#This Row],[Reported quantity net (kg)]]/1000</calculatedColumnFormula>
    </tableColumn>
    <tableColumn id="7" name="Generated quantity  _x000a_(tonnes)" totalsRowFunction="sum" dataDxfId="19" totalsRowDxfId="18">
      <calculatedColumnFormula>tblMatières[[#This Row],[Reported quantity (tonnes)]]</calculatedColumnFormula>
    </tableColumn>
    <tableColumn id="8" name="Recovered quantity  (tonnes)" totalsRowFunction="sum" dataDxfId="17" totalsRowDxfId="16">
      <calculatedColumnFormula>tblMatières[[#This Row],[Generated quantity  
(tonnes)]]*tblMatières[[#This Row],[% recovery]]</calculatedColumnFormula>
    </tableColumn>
    <tableColumn id="10" name="Eliminated quantity " totalsRowFunction="sum" dataDxfId="15" totalsRowDxfId="14">
      <calculatedColumnFormula>tblMatières[[#This Row],[Generated quantity  
(tonnes)]]-tblMatières[[#This Row],[Recovered quantity  (tonnes)]]</calculatedColumnFormula>
    </tableColumn>
    <tableColumn id="9" name="% recovery" dataDxfId="13" totalsRowDxfId="12" dataCellStyle="Pourcentage">
      <calculatedColumnFormula>INDEX(Characterization!$F$7:$F$36,MATCH(tblMatières[[#This Row],[Material]],Characterization!$B$7:$B$36,0))</calculatedColumnFormula>
    </tableColumn>
    <tableColumn id="12" name="Gross cost" dataDxfId="11" totalsRowDxfId="10" dataCellStyle="Monétaire">
      <calculatedColumnFormula>INDEX(Parameters!$C$48:$C$77,MATCH(tblMatières[[#This Row],[Material]],Parameters!$B$48:$B$77,0))</calculatedColumnFormula>
    </tableColumn>
    <tableColumn id="13" name="Gross revenue" dataDxfId="9" totalsRowDxfId="8" dataCellStyle="Monétaire">
      <calculatedColumnFormula>INDEX(Parameters!$D$48:$D$77,MATCH(tblMatières[[#This Row],[Material]],Parameters!$B$48:$B$77,0))</calculatedColumnFormula>
    </tableColumn>
    <tableColumn id="11" name="Net cost" dataDxfId="7" totalsRowDxfId="6" dataCellStyle="Monétaire">
      <calculatedColumnFormula>tblMatières[[#This Row],[Gross cost]]-tblMatières[[#This Row],[Gross revenue]]</calculatedColumnFormula>
    </tableColumn>
    <tableColumn id="14" name="Specific study" dataDxfId="5" totalsRowDxfId="4" dataCellStyle="Monétaire">
      <calculatedColumnFormula>INDEX(Parameters!$E$48:$E$77,MATCH(tblMatières[[#This Row],[Material]],Parameters!$B$48:$B$77,0))</calculatedColumnFormula>
    </tableColumn>
    <tableColumn id="42" name="Previous reported quantity" dataDxfId="3" totalsRowDxfId="2"/>
    <tableColumn id="43" name="Previous fee" dataDxfId="1" totalsRowDxfId="0" dataCellStyle="Monétaire"/>
  </tableColumns>
  <tableStyleInfo name="TableStyleMedium1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ecoentreprises.qc.ca/documents/pdf/caracterisation_2012-2013_rapport_synthese_fr_final.pdf"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90" zoomScaleNormal="90" workbookViewId="0">
      <selection activeCell="T19" sqref="T19"/>
    </sheetView>
  </sheetViews>
  <sheetFormatPr baseColWidth="10" defaultRowHeight="1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C000"/>
    <pageSetUpPr fitToPage="1"/>
  </sheetPr>
  <dimension ref="A1:L54"/>
  <sheetViews>
    <sheetView showGridLines="0" zoomScale="80" zoomScaleNormal="80" zoomScaleSheetLayoutView="55" workbookViewId="0">
      <pane xSplit="2" ySplit="9" topLeftCell="C10" activePane="bottomRight" state="frozen"/>
      <selection pane="topRight" activeCell="C1" sqref="C1"/>
      <selection pane="bottomLeft" activeCell="A10" sqref="A10"/>
      <selection pane="bottomRight" activeCell="B8" sqref="B8"/>
    </sheetView>
  </sheetViews>
  <sheetFormatPr baseColWidth="10" defaultColWidth="9.140625" defaultRowHeight="15"/>
  <cols>
    <col min="1" max="1" width="25.42578125" customWidth="1"/>
    <col min="2" max="2" width="49.5703125" customWidth="1"/>
    <col min="3" max="3" width="16.140625" customWidth="1"/>
    <col min="4" max="4" width="17" customWidth="1"/>
    <col min="5" max="5" width="15.85546875" customWidth="1"/>
    <col min="6" max="6" width="17.42578125" customWidth="1"/>
    <col min="7" max="7" width="14" bestFit="1" customWidth="1"/>
    <col min="8" max="8" width="21" bestFit="1" customWidth="1"/>
    <col min="9" max="9" width="18.5703125" bestFit="1" customWidth="1"/>
    <col min="10" max="10" width="19.5703125" bestFit="1" customWidth="1"/>
    <col min="11" max="11" width="15.7109375" bestFit="1" customWidth="1"/>
    <col min="12" max="12" width="17.85546875" bestFit="1" customWidth="1"/>
  </cols>
  <sheetData>
    <row r="1" spans="1:12" s="159" customFormat="1" ht="15.75" thickBot="1">
      <c r="A1" s="4" t="s">
        <v>168</v>
      </c>
      <c r="B1" s="36"/>
    </row>
    <row r="2" spans="1:12" ht="7.5" customHeight="1" thickBot="1">
      <c r="A2" s="35"/>
      <c r="B2" s="35"/>
    </row>
    <row r="3" spans="1:12" ht="18.75" thickBot="1">
      <c r="A3" s="93" t="str">
        <f>Parameters!B4</f>
        <v>Schedule</v>
      </c>
      <c r="B3" s="245">
        <f>AnnéeTarif</f>
        <v>2015</v>
      </c>
    </row>
    <row r="4" spans="1:12" ht="18.75" thickBot="1">
      <c r="A4" s="93" t="str">
        <f>Parameters!B5</f>
        <v>Scenario</v>
      </c>
      <c r="B4" s="245" t="str">
        <f>Parameters!C5</f>
        <v>Final July 2016</v>
      </c>
    </row>
    <row r="5" spans="1:12" ht="18.75" thickBot="1">
      <c r="A5" s="93" t="str">
        <f>Parameters!B6</f>
        <v>Reference Year</v>
      </c>
      <c r="B5" s="94">
        <f>AnnéeRéf</f>
        <v>2014</v>
      </c>
    </row>
    <row r="6" spans="1:12" ht="15.75" customHeight="1">
      <c r="A6" s="105"/>
      <c r="B6" s="174"/>
      <c r="C6" s="657"/>
      <c r="D6" s="658"/>
      <c r="E6" s="658"/>
      <c r="F6" s="659"/>
      <c r="G6" s="640" t="str">
        <f>A1</f>
        <v>Factor 3</v>
      </c>
      <c r="H6" s="641"/>
      <c r="I6" s="641"/>
      <c r="J6" s="641"/>
      <c r="K6" s="641"/>
      <c r="L6" s="641"/>
    </row>
    <row r="7" spans="1:12" ht="50.25" customHeight="1" thickBot="1">
      <c r="A7" s="42" t="str">
        <f>'Executive Summary'!A7</f>
        <v>CLASS</v>
      </c>
      <c r="B7" s="18" t="str">
        <f>'Executive Summary'!B7</f>
        <v>Material</v>
      </c>
      <c r="C7" s="44" t="str">
        <f>'Factor 1'!C7</f>
        <v>Generated quantity (t)</v>
      </c>
      <c r="D7" s="44" t="str">
        <f>'Factor 1'!D7</f>
        <v>Recovered quantity (t)</v>
      </c>
      <c r="E7" s="44" t="str">
        <f>'Factor 1'!E7</f>
        <v>Eliminated quantity (t)</v>
      </c>
      <c r="F7" s="47" t="str">
        <f>'Factor 1'!F7</f>
        <v>Reported quantity
(t)</v>
      </c>
      <c r="G7" s="74" t="s">
        <v>169</v>
      </c>
      <c r="H7" s="170" t="s">
        <v>170</v>
      </c>
      <c r="I7" s="170" t="s">
        <v>171</v>
      </c>
      <c r="J7" s="170" t="s">
        <v>172</v>
      </c>
      <c r="K7" s="170" t="s">
        <v>158</v>
      </c>
      <c r="L7" s="170" t="s">
        <v>173</v>
      </c>
    </row>
    <row r="8" spans="1:12" ht="15.75" thickBot="1">
      <c r="A8" s="99"/>
      <c r="B8" s="171" t="s">
        <v>174</v>
      </c>
      <c r="C8" s="71"/>
      <c r="D8" s="71"/>
      <c r="E8" s="71"/>
      <c r="F8" s="72"/>
      <c r="G8" s="172">
        <v>0.2</v>
      </c>
      <c r="H8" s="173"/>
      <c r="I8" s="173"/>
      <c r="J8" s="173"/>
      <c r="K8" s="173"/>
      <c r="L8" s="173"/>
    </row>
    <row r="9" spans="1:12">
      <c r="A9" s="43" t="str">
        <f>'Executive Summary'!A8</f>
        <v>PRINTED MATTER</v>
      </c>
      <c r="B9" s="45"/>
      <c r="C9" s="104"/>
      <c r="D9" s="79"/>
      <c r="E9" s="79"/>
      <c r="F9" s="103"/>
      <c r="G9" s="132"/>
      <c r="H9" s="83"/>
      <c r="I9" s="133"/>
      <c r="J9" s="133"/>
      <c r="K9" s="79"/>
      <c r="L9" s="138"/>
    </row>
    <row r="10" spans="1:12">
      <c r="A10" s="38"/>
      <c r="B10" s="37" t="str">
        <f>INDEX(ListeMatières,1)</f>
        <v>Newsprint inserts and circulars</v>
      </c>
      <c r="C10" s="58">
        <f>INDEX(tblMatières[Generated quantity  
(tonnes)],MATCH($B10,tblMatières[Material],0))</f>
        <v>100503.348</v>
      </c>
      <c r="D10" s="26">
        <f>INDEX(tblMatières[Recovered quantity  (tonnes)],MATCH($B10,tblMatières[Material],0))</f>
        <v>85864.816326250861</v>
      </c>
      <c r="E10" s="26">
        <f t="shared" ref="E10:E15" si="0">C10-D10</f>
        <v>14638.531673749138</v>
      </c>
      <c r="F10" s="48">
        <f>INDEX(tblMatières[Reported quantity (tonnes)],MATCH($B10,tblMatières[Material],0))</f>
        <v>100503.348</v>
      </c>
      <c r="G10" s="208">
        <f t="shared" ref="G10:G15" si="1">ObjectifRecup*C10</f>
        <v>100503.348</v>
      </c>
      <c r="H10" s="215">
        <f t="shared" ref="H10:H15" si="2">G10-D10</f>
        <v>14638.531673749138</v>
      </c>
      <c r="I10" s="221">
        <f>INDEX(tblMatières[Net cost],MATCH($B10,tblMatières[Material],0))</f>
        <v>94.395819569791769</v>
      </c>
      <c r="J10" s="323">
        <f t="shared" ref="J10:J15" si="3">MAX(0,I10*H10)</f>
        <v>1381816.1946419056</v>
      </c>
      <c r="K10" s="78">
        <f t="shared" ref="K10:K15" si="4">$J10/$J$16</f>
        <v>0.42744069081887687</v>
      </c>
      <c r="L10" s="323">
        <f t="shared" ref="L10:L15" si="5">K10*$L$53</f>
        <v>2425922.9478534092</v>
      </c>
    </row>
    <row r="11" spans="1:12">
      <c r="A11" s="38"/>
      <c r="B11" s="37" t="str">
        <f>INDEX(ListeMatières,2)</f>
        <v>Catalogues and publications</v>
      </c>
      <c r="C11" s="58">
        <f>INDEX(tblMatières[Generated quantity  
(tonnes)],MATCH($B11,tblMatières[Material],0))</f>
        <v>16909.731</v>
      </c>
      <c r="D11" s="26">
        <f>INDEX(tblMatières[Recovered quantity  (tonnes)],MATCH($B11,tblMatières[Material],0))</f>
        <v>13561.464056479286</v>
      </c>
      <c r="E11" s="26">
        <f t="shared" si="0"/>
        <v>3348.2669435207135</v>
      </c>
      <c r="F11" s="48">
        <f>INDEX(tblMatières[Reported quantity (tonnes)],MATCH($B11,tblMatières[Material],0))</f>
        <v>16909.731</v>
      </c>
      <c r="G11" s="209">
        <f t="shared" si="1"/>
        <v>16909.731</v>
      </c>
      <c r="H11" s="216">
        <f t="shared" si="2"/>
        <v>3348.2669435207135</v>
      </c>
      <c r="I11" s="222">
        <f>INDEX(tblMatières[Net cost],MATCH($B11,tblMatières[Material],0))</f>
        <v>93.239891555735525</v>
      </c>
      <c r="J11" s="324">
        <f t="shared" si="3"/>
        <v>312192.04671352537</v>
      </c>
      <c r="K11" s="77">
        <f t="shared" si="4"/>
        <v>9.6571153698173262E-2</v>
      </c>
      <c r="L11" s="325">
        <f t="shared" si="5"/>
        <v>548085.81140991126</v>
      </c>
    </row>
    <row r="12" spans="1:12">
      <c r="A12" s="38"/>
      <c r="B12" s="37" t="str">
        <f>INDEX(ListeMatières,3)</f>
        <v>Magazines</v>
      </c>
      <c r="C12" s="58">
        <f>INDEX(tblMatières[Generated quantity  
(tonnes)],MATCH($B12,tblMatières[Material],0))</f>
        <v>10816.571</v>
      </c>
      <c r="D12" s="26">
        <f>INDEX(tblMatières[Recovered quantity  (tonnes)],MATCH($B12,tblMatières[Material],0))</f>
        <v>9110.2160408458858</v>
      </c>
      <c r="E12" s="26">
        <f t="shared" si="0"/>
        <v>1706.3549591541141</v>
      </c>
      <c r="F12" s="48">
        <f>INDEX(tblMatières[Reported quantity (tonnes)],MATCH($B12,tblMatières[Material],0))</f>
        <v>10816.571</v>
      </c>
      <c r="G12" s="209">
        <f t="shared" si="1"/>
        <v>10816.571</v>
      </c>
      <c r="H12" s="216">
        <f t="shared" si="2"/>
        <v>1706.3549591541141</v>
      </c>
      <c r="I12" s="223">
        <f>INDEX(tblMatières[Net cost],MATCH($B12,tblMatières[Material],0))</f>
        <v>90.789718789252021</v>
      </c>
      <c r="J12" s="325">
        <f t="shared" si="3"/>
        <v>154919.48689624763</v>
      </c>
      <c r="K12" s="77">
        <f t="shared" si="4"/>
        <v>4.7921635856495733E-2</v>
      </c>
      <c r="L12" s="325">
        <f t="shared" si="5"/>
        <v>271977.37281453429</v>
      </c>
    </row>
    <row r="13" spans="1:12">
      <c r="A13" s="38"/>
      <c r="B13" s="37" t="str">
        <f>INDEX(ListeMatières,4)</f>
        <v>Telephone books</v>
      </c>
      <c r="C13" s="58">
        <f>INDEX(tblMatières[Generated quantity  
(tonnes)],MATCH($B13,tblMatières[Material],0))</f>
        <v>1956.9110000000001</v>
      </c>
      <c r="D13" s="26">
        <f>INDEX(tblMatières[Recovered quantity  (tonnes)],MATCH($B13,tblMatières[Material],0))</f>
        <v>1761.6059678635033</v>
      </c>
      <c r="E13" s="26">
        <f t="shared" si="0"/>
        <v>195.30503213649672</v>
      </c>
      <c r="F13" s="48">
        <f>INDEX(tblMatières[Reported quantity (tonnes)],MATCH($B13,tblMatières[Material],0))</f>
        <v>1956.9110000000001</v>
      </c>
      <c r="G13" s="209">
        <f t="shared" si="1"/>
        <v>1956.9110000000001</v>
      </c>
      <c r="H13" s="216">
        <f t="shared" si="2"/>
        <v>195.30503213649672</v>
      </c>
      <c r="I13" s="223">
        <f>INDEX(tblMatières[Net cost],MATCH($B13,tblMatières[Material],0))</f>
        <v>95.64482468551175</v>
      </c>
      <c r="J13" s="325">
        <f t="shared" si="3"/>
        <v>18679.915558893466</v>
      </c>
      <c r="K13" s="77">
        <f t="shared" si="4"/>
        <v>5.7783054228864993E-3</v>
      </c>
      <c r="L13" s="325">
        <f t="shared" si="5"/>
        <v>32794.546766784086</v>
      </c>
    </row>
    <row r="14" spans="1:12">
      <c r="A14" s="38"/>
      <c r="B14" s="37" t="str">
        <f>INDEX(ListeMatières,5)</f>
        <v>Paper for general use</v>
      </c>
      <c r="C14" s="58">
        <f>INDEX(tblMatières[Generated quantity  
(tonnes)],MATCH($B14,tblMatières[Material],0))</f>
        <v>4514.6930000000002</v>
      </c>
      <c r="D14" s="26">
        <f>INDEX(tblMatières[Recovered quantity  (tonnes)],MATCH($B14,tblMatières[Material],0))</f>
        <v>2990.2667386915787</v>
      </c>
      <c r="E14" s="26">
        <f t="shared" si="0"/>
        <v>1524.4262613084215</v>
      </c>
      <c r="F14" s="48">
        <f>INDEX(tblMatières[Reported quantity (tonnes)],MATCH($B14,tblMatières[Material],0))</f>
        <v>4514.6930000000002</v>
      </c>
      <c r="G14" s="209">
        <f t="shared" si="1"/>
        <v>4514.6930000000002</v>
      </c>
      <c r="H14" s="216">
        <f t="shared" si="2"/>
        <v>1524.4262613084215</v>
      </c>
      <c r="I14" s="223">
        <f>INDEX(tblMatières[Net cost],MATCH($B14,tblMatières[Material],0))</f>
        <v>96.536212132836539</v>
      </c>
      <c r="J14" s="325">
        <f t="shared" si="3"/>
        <v>147162.3369425367</v>
      </c>
      <c r="K14" s="77">
        <f t="shared" si="4"/>
        <v>4.5522097084366143E-2</v>
      </c>
      <c r="L14" s="325">
        <f t="shared" si="5"/>
        <v>258358.88422276895</v>
      </c>
    </row>
    <row r="15" spans="1:12">
      <c r="A15" s="38"/>
      <c r="B15" s="37" t="str">
        <f>INDEX(ListeMatières,6)</f>
        <v>Other printed matter</v>
      </c>
      <c r="C15" s="58">
        <f>INDEX(tblMatières[Generated quantity  
(tonnes)],MATCH($B15,tblMatières[Material],0))</f>
        <v>26543.002</v>
      </c>
      <c r="D15" s="26">
        <f>INDEX(tblMatières[Recovered quantity  (tonnes)],MATCH($B15,tblMatières[Material],0))</f>
        <v>15185.286865042328</v>
      </c>
      <c r="E15" s="26">
        <f t="shared" si="0"/>
        <v>11357.715134957672</v>
      </c>
      <c r="F15" s="48">
        <f>INDEX(tblMatières[Reported quantity (tonnes)],MATCH($B15,tblMatières[Material],0))</f>
        <v>26543.002</v>
      </c>
      <c r="G15" s="210">
        <f t="shared" si="1"/>
        <v>26543.002</v>
      </c>
      <c r="H15" s="217">
        <f t="shared" si="2"/>
        <v>11357.715134957672</v>
      </c>
      <c r="I15" s="224">
        <f>INDEX(tblMatières[Net cost],MATCH($B15,tblMatières[Material],0))</f>
        <v>107.23962402961833</v>
      </c>
      <c r="J15" s="326">
        <f t="shared" si="3"/>
        <v>1217997.1009083665</v>
      </c>
      <c r="K15" s="154">
        <f t="shared" si="4"/>
        <v>0.37676611711920144</v>
      </c>
      <c r="L15" s="326">
        <f t="shared" si="5"/>
        <v>2138321.3838206981</v>
      </c>
    </row>
    <row r="16" spans="1:12" ht="15.75" thickBot="1">
      <c r="A16" s="55" t="str">
        <f>'Executive Summary'!A15</f>
        <v>TOTAL - PRINTED MATTER</v>
      </c>
      <c r="B16" s="50"/>
      <c r="C16" s="59">
        <f>SUBTOTAL(9,C10:C15)</f>
        <v>161244.25599999999</v>
      </c>
      <c r="D16" s="21">
        <f t="shared" ref="D16:H16" si="6">SUBTOTAL(9,D10:D15)</f>
        <v>128473.65599517347</v>
      </c>
      <c r="E16" s="21">
        <f t="shared" si="6"/>
        <v>32770.600004826556</v>
      </c>
      <c r="F16" s="28">
        <f t="shared" si="6"/>
        <v>161244.25599999999</v>
      </c>
      <c r="G16" s="59">
        <f t="shared" si="6"/>
        <v>161244.25599999999</v>
      </c>
      <c r="H16" s="21">
        <f t="shared" si="6"/>
        <v>32770.600004826556</v>
      </c>
      <c r="I16" s="225"/>
      <c r="J16" s="327">
        <f>SUBTOTAL(9,J10:J15)</f>
        <v>3232767.0816614754</v>
      </c>
      <c r="K16" s="463">
        <f>SUBTOTAL(9,K10:K15)</f>
        <v>1</v>
      </c>
      <c r="L16" s="327">
        <f>SUBTOTAL(9,L10:L15)</f>
        <v>5675460.9468881059</v>
      </c>
    </row>
    <row r="17" spans="1:12">
      <c r="A17" s="38"/>
      <c r="B17" s="39"/>
      <c r="C17" s="38"/>
      <c r="D17" s="35"/>
      <c r="E17" s="35"/>
      <c r="F17" s="39"/>
      <c r="G17" s="211"/>
      <c r="H17" s="218"/>
      <c r="I17" s="203"/>
      <c r="J17" s="328"/>
      <c r="K17" s="80"/>
      <c r="L17" s="331"/>
    </row>
    <row r="18" spans="1:12">
      <c r="A18" s="43" t="str">
        <f>'Executive Summary'!A17</f>
        <v>CONTAINERS AND PACKAGING</v>
      </c>
      <c r="B18" s="45"/>
      <c r="C18" s="34"/>
      <c r="D18" s="11"/>
      <c r="E18" s="11"/>
      <c r="F18" s="45"/>
      <c r="G18" s="212"/>
      <c r="H18" s="219"/>
      <c r="I18" s="204"/>
      <c r="J18" s="329"/>
      <c r="K18" s="79"/>
      <c r="L18" s="333"/>
    </row>
    <row r="19" spans="1:12">
      <c r="A19" s="46" t="str">
        <f>'Executive Summary'!A18</f>
        <v>Paperboard</v>
      </c>
      <c r="B19" s="37" t="str">
        <f>INDEX(ListeMatières,7)</f>
        <v>Corrugated cardboard</v>
      </c>
      <c r="C19" s="58">
        <f>INDEX(tblMatières[Generated quantity  
(tonnes)],MATCH($B19,tblMatières[Material],0))</f>
        <v>57170.796000000002</v>
      </c>
      <c r="D19" s="26">
        <f>INDEX(tblMatières[Recovered quantity  (tonnes)],MATCH($B19,tblMatières[Material],0))</f>
        <v>40535.693523257782</v>
      </c>
      <c r="E19" s="26">
        <f t="shared" ref="E19:E25" si="7">C19-D19</f>
        <v>16635.10247674222</v>
      </c>
      <c r="F19" s="48">
        <f>INDEX(tblMatières[Reported quantity (tonnes)],MATCH($B19,tblMatières[Material],0))</f>
        <v>57170.796000000002</v>
      </c>
      <c r="G19" s="208">
        <f t="shared" ref="G19:G25" si="8">ObjectifRecup*C19</f>
        <v>57170.796000000002</v>
      </c>
      <c r="H19" s="216">
        <f t="shared" ref="H19:H25" si="9">G19-D19</f>
        <v>16635.10247674222</v>
      </c>
      <c r="I19" s="223">
        <f>INDEX(tblMatières[Net cost],MATCH($B19,tblMatières[Material],0))</f>
        <v>153.68613427780843</v>
      </c>
      <c r="J19" s="325">
        <f t="shared" ref="J19:J25" si="10">MAX(0,I19*H19)</f>
        <v>2556584.5929657086</v>
      </c>
      <c r="K19" s="77">
        <f t="shared" ref="K19:K25" si="11">$J19/$J$48</f>
        <v>4.2016361367573293E-2</v>
      </c>
      <c r="L19" s="325">
        <f t="shared" ref="L19:L25" si="12">K19*$L$54</f>
        <v>883785.23089571262</v>
      </c>
    </row>
    <row r="20" spans="1:12">
      <c r="A20" s="46"/>
      <c r="B20" s="37" t="str">
        <f>INDEX(ListeMatières,8)</f>
        <v>Kraft paper shopping bags</v>
      </c>
      <c r="C20" s="58">
        <f>INDEX(tblMatières[Generated quantity  
(tonnes)],MATCH($B20,tblMatières[Material],0))</f>
        <v>2779.5329999999999</v>
      </c>
      <c r="D20" s="26">
        <f>INDEX(tblMatières[Recovered quantity  (tonnes)],MATCH($B20,tblMatières[Material],0))</f>
        <v>954.88002661803682</v>
      </c>
      <c r="E20" s="26">
        <f t="shared" si="7"/>
        <v>1824.652973381963</v>
      </c>
      <c r="F20" s="48">
        <f>INDEX(tblMatières[Reported quantity (tonnes)],MATCH($B20,tblMatières[Material],0))</f>
        <v>2779.5329999999999</v>
      </c>
      <c r="G20" s="209">
        <f t="shared" si="8"/>
        <v>2779.5329999999999</v>
      </c>
      <c r="H20" s="216">
        <f t="shared" si="9"/>
        <v>1824.652973381963</v>
      </c>
      <c r="I20" s="223">
        <f>INDEX(tblMatières[Net cost],MATCH($B20,tblMatières[Material],0))</f>
        <v>153.68613427780843</v>
      </c>
      <c r="J20" s="325">
        <f t="shared" si="10"/>
        <v>280423.86187758279</v>
      </c>
      <c r="K20" s="77">
        <f t="shared" si="11"/>
        <v>4.6086448104074194E-3</v>
      </c>
      <c r="L20" s="325">
        <f t="shared" si="12"/>
        <v>96939.670292955998</v>
      </c>
    </row>
    <row r="21" spans="1:12">
      <c r="A21" s="46"/>
      <c r="B21" s="37" t="str">
        <f>INDEX(ListeMatières,9)</f>
        <v>Kraft paper packaging</v>
      </c>
      <c r="C21" s="58">
        <f>INDEX(tblMatières[Generated quantity  
(tonnes)],MATCH($B21,tblMatières[Material],0))</f>
        <v>311.67700000000002</v>
      </c>
      <c r="D21" s="26">
        <f>INDEX(tblMatières[Recovered quantity  (tonnes)],MATCH($B21,tblMatières[Material],0))</f>
        <v>99.135800518476543</v>
      </c>
      <c r="E21" s="26">
        <f t="shared" si="7"/>
        <v>212.54119948152348</v>
      </c>
      <c r="F21" s="48">
        <f>INDEX(tblMatières[Reported quantity (tonnes)],MATCH($B21,tblMatières[Material],0))</f>
        <v>311.67700000000002</v>
      </c>
      <c r="G21" s="209">
        <f t="shared" si="8"/>
        <v>311.67700000000002</v>
      </c>
      <c r="H21" s="216">
        <f t="shared" si="9"/>
        <v>212.54119948152348</v>
      </c>
      <c r="I21" s="223">
        <f>INDEX(tblMatières[Net cost],MATCH($B21,tblMatières[Material],0))</f>
        <v>153.68613427780843</v>
      </c>
      <c r="J21" s="325">
        <f t="shared" si="10"/>
        <v>32664.635323083887</v>
      </c>
      <c r="K21" s="77">
        <f t="shared" si="11"/>
        <v>5.3682914520055563E-4</v>
      </c>
      <c r="L21" s="325">
        <f t="shared" si="12"/>
        <v>11291.831434236903</v>
      </c>
    </row>
    <row r="22" spans="1:12">
      <c r="A22" s="46"/>
      <c r="B22" s="37" t="str">
        <f>INDEX(ListeMatières,10)</f>
        <v>Boxboard / Other paper packaging</v>
      </c>
      <c r="C22" s="58">
        <f>INDEX(tblMatières[Generated quantity  
(tonnes)],MATCH($B22,tblMatières[Material],0))</f>
        <v>87558.263999999996</v>
      </c>
      <c r="D22" s="26">
        <f>INDEX(tblMatières[Recovered quantity  (tonnes)],MATCH($B22,tblMatières[Material],0))</f>
        <v>49381.170834612974</v>
      </c>
      <c r="E22" s="26">
        <f t="shared" si="7"/>
        <v>38177.093165387021</v>
      </c>
      <c r="F22" s="48">
        <f>INDEX(tblMatières[Reported quantity (tonnes)],MATCH($B22,tblMatières[Material],0))</f>
        <v>87558.263999999996</v>
      </c>
      <c r="G22" s="209">
        <f t="shared" si="8"/>
        <v>87558.263999999996</v>
      </c>
      <c r="H22" s="216">
        <f t="shared" si="9"/>
        <v>38177.093165387021</v>
      </c>
      <c r="I22" s="223">
        <f>INDEX(tblMatières[Net cost],MATCH($B22,tblMatières[Material],0))</f>
        <v>149.29999999999998</v>
      </c>
      <c r="J22" s="325">
        <f t="shared" si="10"/>
        <v>5699840.0095922817</v>
      </c>
      <c r="K22" s="77">
        <f t="shared" si="11"/>
        <v>9.3674403827401123E-2</v>
      </c>
      <c r="L22" s="325">
        <f t="shared" si="12"/>
        <v>1970376.5847632573</v>
      </c>
    </row>
    <row r="23" spans="1:12">
      <c r="A23" s="46"/>
      <c r="B23" s="37" t="str">
        <f>INDEX(ListeMatières,11)</f>
        <v>Gable-top containers</v>
      </c>
      <c r="C23" s="58">
        <f>INDEX(tblMatières[Generated quantity  
(tonnes)],MATCH($B23,tblMatières[Material],0))</f>
        <v>12195.59</v>
      </c>
      <c r="D23" s="26">
        <f>INDEX(tblMatières[Recovered quantity  (tonnes)],MATCH($B23,tblMatières[Material],0))</f>
        <v>8372.4597512227556</v>
      </c>
      <c r="E23" s="26">
        <f t="shared" si="7"/>
        <v>3823.1302487772446</v>
      </c>
      <c r="F23" s="48">
        <f>INDEX(tblMatières[Reported quantity (tonnes)],MATCH($B23,tblMatières[Material],0))</f>
        <v>12195.59</v>
      </c>
      <c r="G23" s="209">
        <f t="shared" si="8"/>
        <v>12195.59</v>
      </c>
      <c r="H23" s="216">
        <f t="shared" si="9"/>
        <v>3823.1302487772446</v>
      </c>
      <c r="I23" s="223">
        <f>INDEX(tblMatières[Net cost],MATCH($B23,tblMatières[Material],0))</f>
        <v>182.28823626808645</v>
      </c>
      <c r="J23" s="325">
        <f t="shared" si="10"/>
        <v>696911.67007277452</v>
      </c>
      <c r="K23" s="77">
        <f t="shared" si="11"/>
        <v>1.1453441693900352E-2</v>
      </c>
      <c r="L23" s="325">
        <f t="shared" si="12"/>
        <v>240915.25973513722</v>
      </c>
    </row>
    <row r="24" spans="1:12">
      <c r="A24" s="46"/>
      <c r="B24" s="37" t="str">
        <f>INDEX(ListeMatières,12)</f>
        <v>Paper laminants</v>
      </c>
      <c r="C24" s="58">
        <f>INDEX(tblMatières[Generated quantity  
(tonnes)],MATCH($B24,tblMatières[Material],0))</f>
        <v>12555.716</v>
      </c>
      <c r="D24" s="26">
        <f>INDEX(tblMatières[Recovered quantity  (tonnes)],MATCH($B24,tblMatières[Material],0))</f>
        <v>3392.0864248591306</v>
      </c>
      <c r="E24" s="26">
        <f t="shared" si="7"/>
        <v>9163.6295751408688</v>
      </c>
      <c r="F24" s="48">
        <f>INDEX(tblMatières[Reported quantity (tonnes)],MATCH($B24,tblMatières[Material],0))</f>
        <v>12555.716</v>
      </c>
      <c r="G24" s="209">
        <f t="shared" si="8"/>
        <v>12555.716</v>
      </c>
      <c r="H24" s="216">
        <f t="shared" si="9"/>
        <v>9163.6295751408688</v>
      </c>
      <c r="I24" s="223">
        <f>INDEX(tblMatières[Net cost],MATCH($B24,tblMatières[Material],0))</f>
        <v>226.71233190137519</v>
      </c>
      <c r="J24" s="325">
        <f t="shared" si="10"/>
        <v>2077507.8296605945</v>
      </c>
      <c r="K24" s="77">
        <f t="shared" si="11"/>
        <v>3.4142942093586044E-2</v>
      </c>
      <c r="L24" s="325">
        <f t="shared" si="12"/>
        <v>718173.27773001499</v>
      </c>
    </row>
    <row r="25" spans="1:12">
      <c r="A25" s="46"/>
      <c r="B25" s="37" t="str">
        <f>INDEX(ListeMatières,13)</f>
        <v>Aseptic containers</v>
      </c>
      <c r="C25" s="58">
        <f>INDEX(tblMatières[Generated quantity  
(tonnes)],MATCH($B25,tblMatières[Material],0))</f>
        <v>6206.1570000000002</v>
      </c>
      <c r="D25" s="26">
        <f>INDEX(tblMatières[Recovered quantity  (tonnes)],MATCH($B25,tblMatières[Material],0))</f>
        <v>3243.9021752935305</v>
      </c>
      <c r="E25" s="26">
        <f t="shared" si="7"/>
        <v>2962.2548247064697</v>
      </c>
      <c r="F25" s="48">
        <f>INDEX(tblMatières[Reported quantity (tonnes)],MATCH($B25,tblMatières[Material],0))</f>
        <v>6206.1570000000002</v>
      </c>
      <c r="G25" s="210">
        <f t="shared" si="8"/>
        <v>6206.1570000000002</v>
      </c>
      <c r="H25" s="216">
        <f t="shared" si="9"/>
        <v>2962.2548247064697</v>
      </c>
      <c r="I25" s="223">
        <f>INDEX(tblMatières[Net cost],MATCH($B25,tblMatières[Material],0))</f>
        <v>186.11136672940609</v>
      </c>
      <c r="J25" s="325">
        <f t="shared" si="10"/>
        <v>551309.29402689834</v>
      </c>
      <c r="K25" s="77">
        <f t="shared" si="11"/>
        <v>9.0605296561945495E-3</v>
      </c>
      <c r="L25" s="325">
        <f t="shared" si="12"/>
        <v>190582.00266759173</v>
      </c>
    </row>
    <row r="26" spans="1:12">
      <c r="A26" s="43" t="str">
        <f>'Executive Summary'!A25</f>
        <v>TOTAL - Paperboard</v>
      </c>
      <c r="B26" s="51"/>
      <c r="C26" s="60">
        <f>SUBTOTAL(9,C19:C25)</f>
        <v>178777.73300000001</v>
      </c>
      <c r="D26" s="22">
        <f t="shared" ref="D26:H26" si="13">SUBTOTAL(9,D19:D25)</f>
        <v>105979.32853638267</v>
      </c>
      <c r="E26" s="22">
        <f t="shared" si="13"/>
        <v>72798.404463617306</v>
      </c>
      <c r="F26" s="29">
        <f t="shared" si="13"/>
        <v>178777.73300000001</v>
      </c>
      <c r="G26" s="60">
        <f t="shared" si="13"/>
        <v>178777.73300000001</v>
      </c>
      <c r="H26" s="22">
        <f t="shared" si="13"/>
        <v>72798.404463617306</v>
      </c>
      <c r="I26" s="226"/>
      <c r="J26" s="330">
        <f>SUBTOTAL(9,J19:J25)</f>
        <v>11895241.893518925</v>
      </c>
      <c r="K26" s="89">
        <f t="shared" ref="K26:L26" si="14">SUBTOTAL(9,K19:K25)</f>
        <v>0.19549315259426334</v>
      </c>
      <c r="L26" s="330">
        <f t="shared" si="14"/>
        <v>4112063.8575189072</v>
      </c>
    </row>
    <row r="27" spans="1:12">
      <c r="A27" s="46" t="str">
        <f>'Executive Summary'!A26</f>
        <v>Plastic</v>
      </c>
      <c r="B27" s="37" t="str">
        <f>INDEX(ListeMatières,14)</f>
        <v>PET bottles</v>
      </c>
      <c r="C27" s="58">
        <f>INDEX(tblMatières[Generated quantity  
(tonnes)],MATCH($B27,tblMatières[Material],0))</f>
        <v>23176.743999999999</v>
      </c>
      <c r="D27" s="26">
        <f>INDEX(tblMatières[Recovered quantity  (tonnes)],MATCH($B27,tblMatières[Material],0))</f>
        <v>13623.907422425867</v>
      </c>
      <c r="E27" s="26">
        <f t="shared" ref="E27:E37" si="15">C27-D27</f>
        <v>9552.8365775741313</v>
      </c>
      <c r="F27" s="48">
        <f>INDEX(tblMatières[Reported quantity (tonnes)],MATCH($B27,tblMatières[Material],0))</f>
        <v>23176.743999999999</v>
      </c>
      <c r="G27" s="209">
        <f t="shared" ref="G27:G43" si="16">ObjectifRecup*C27</f>
        <v>23176.743999999999</v>
      </c>
      <c r="H27" s="216">
        <f t="shared" ref="H27:H43" si="17">G27-D27</f>
        <v>9552.8365775741313</v>
      </c>
      <c r="I27" s="223">
        <f>INDEX(tblMatières[Net cost],MATCH($B27,tblMatières[Material],0))</f>
        <v>206.00218587957016</v>
      </c>
      <c r="J27" s="325">
        <f t="shared" ref="J27:J37" si="18">MAX(0,I27*H27)</f>
        <v>1967905.216330583</v>
      </c>
      <c r="K27" s="81">
        <f t="shared" ref="K27:K37" si="19">$J27/$J$48</f>
        <v>3.2341670576431933E-2</v>
      </c>
      <c r="L27" s="334">
        <f t="shared" ref="L27:L37" si="20">K27*$L$54</f>
        <v>680284.77163670736</v>
      </c>
    </row>
    <row r="28" spans="1:12">
      <c r="A28" s="38"/>
      <c r="B28" s="37" t="str">
        <f>INDEX(ListeMatières,15)</f>
        <v>HDPE bottles</v>
      </c>
      <c r="C28" s="58">
        <f>INDEX(tblMatières[Generated quantity  
(tonnes)],MATCH($B28,tblMatières[Material],0))</f>
        <v>16609.435000000001</v>
      </c>
      <c r="D28" s="26">
        <f>INDEX(tblMatières[Recovered quantity  (tonnes)],MATCH($B28,tblMatières[Material],0))</f>
        <v>10319.634497317069</v>
      </c>
      <c r="E28" s="26">
        <f t="shared" si="15"/>
        <v>6289.8005026829323</v>
      </c>
      <c r="F28" s="48">
        <f>INDEX(tblMatières[Reported quantity (tonnes)],MATCH($B28,tblMatières[Material],0))</f>
        <v>16609.435000000001</v>
      </c>
      <c r="G28" s="209">
        <f t="shared" si="16"/>
        <v>16609.435000000001</v>
      </c>
      <c r="H28" s="216">
        <f t="shared" si="17"/>
        <v>6289.8005026829323</v>
      </c>
      <c r="I28" s="223">
        <f>INDEX(tblMatières[Net cost],MATCH($B28,tblMatières[Material],0))</f>
        <v>79.426164210515594</v>
      </c>
      <c r="J28" s="325">
        <f t="shared" si="18"/>
        <v>499574.7275774781</v>
      </c>
      <c r="K28" s="81">
        <f t="shared" si="19"/>
        <v>8.210294445861837E-3</v>
      </c>
      <c r="L28" s="334">
        <f t="shared" si="20"/>
        <v>172697.89044983353</v>
      </c>
    </row>
    <row r="29" spans="1:12">
      <c r="A29" s="38"/>
      <c r="B29" s="37" t="str">
        <f>INDEX(ListeMatières,16)</f>
        <v>Plastic laminants</v>
      </c>
      <c r="C29" s="58">
        <f>INDEX(tblMatières[Generated quantity  
(tonnes)],MATCH($B29,tblMatières[Material],0))</f>
        <v>12064.946</v>
      </c>
      <c r="D29" s="26">
        <f>INDEX(tblMatières[Recovered quantity  (tonnes)],MATCH($B29,tblMatières[Material],0))</f>
        <v>1618.7545506972476</v>
      </c>
      <c r="E29" s="26">
        <f t="shared" si="15"/>
        <v>10446.191449302753</v>
      </c>
      <c r="F29" s="48">
        <f>INDEX(tblMatières[Reported quantity (tonnes)],MATCH($B29,tblMatières[Material],0))</f>
        <v>12064.946</v>
      </c>
      <c r="G29" s="209">
        <f t="shared" si="16"/>
        <v>12064.946</v>
      </c>
      <c r="H29" s="216">
        <f t="shared" si="17"/>
        <v>10446.191449302753</v>
      </c>
      <c r="I29" s="223">
        <f>INDEX(tblMatières[Net cost],MATCH($B29,tblMatières[Material],0))</f>
        <v>529.24187166609318</v>
      </c>
      <c r="J29" s="325">
        <f t="shared" si="18"/>
        <v>5528561.9144113269</v>
      </c>
      <c r="K29" s="81">
        <f t="shared" si="19"/>
        <v>9.0859522457438516E-2</v>
      </c>
      <c r="L29" s="334">
        <f t="shared" si="20"/>
        <v>1911167.4933397339</v>
      </c>
    </row>
    <row r="30" spans="1:12">
      <c r="A30" s="38"/>
      <c r="B30" s="37" t="str">
        <f>INDEX(ListeMatières,17)</f>
        <v>HDPE and LDPE plastic film</v>
      </c>
      <c r="C30" s="58">
        <f>INDEX(tblMatières[Generated quantity  
(tonnes)],MATCH($B30,tblMatières[Material],0))</f>
        <v>21920.366999999998</v>
      </c>
      <c r="D30" s="26">
        <f>INDEX(tblMatières[Recovered quantity  (tonnes)],MATCH($B30,tblMatières[Material],0))</f>
        <v>4791.0687245431354</v>
      </c>
      <c r="E30" s="26">
        <f t="shared" si="15"/>
        <v>17129.298275456862</v>
      </c>
      <c r="F30" s="48">
        <f>INDEX(tblMatières[Reported quantity (tonnes)],MATCH($B30,tblMatières[Material],0))</f>
        <v>21920.366999999998</v>
      </c>
      <c r="G30" s="209">
        <f t="shared" si="16"/>
        <v>21920.366999999998</v>
      </c>
      <c r="H30" s="216">
        <f t="shared" si="17"/>
        <v>17129.298275456862</v>
      </c>
      <c r="I30" s="223">
        <f>INDEX(tblMatières[Net cost],MATCH($B30,tblMatières[Material],0))</f>
        <v>635.64689637837682</v>
      </c>
      <c r="J30" s="325">
        <f t="shared" si="18"/>
        <v>10888185.285933636</v>
      </c>
      <c r="K30" s="81">
        <f t="shared" si="19"/>
        <v>0.17894261307434006</v>
      </c>
      <c r="L30" s="334">
        <f t="shared" si="20"/>
        <v>3763934.6546328929</v>
      </c>
    </row>
    <row r="31" spans="1:12">
      <c r="A31" s="38"/>
      <c r="B31" s="37" t="str">
        <f>INDEX(ListeMatières,18)</f>
        <v>HDPE and LDPE plastic shopping bags</v>
      </c>
      <c r="C31" s="58">
        <f>INDEX(tblMatières[Generated quantity  
(tonnes)],MATCH($B31,tblMatières[Material],0))</f>
        <v>9207.6</v>
      </c>
      <c r="D31" s="26">
        <f>INDEX(tblMatières[Recovered quantity  (tonnes)],MATCH($B31,tblMatières[Material],0))</f>
        <v>1211.2228001806236</v>
      </c>
      <c r="E31" s="26">
        <f t="shared" si="15"/>
        <v>7996.377199819377</v>
      </c>
      <c r="F31" s="48">
        <f>INDEX(tblMatières[Reported quantity (tonnes)],MATCH($B31,tblMatières[Material],0))</f>
        <v>9207.6</v>
      </c>
      <c r="G31" s="209">
        <f t="shared" si="16"/>
        <v>9207.6</v>
      </c>
      <c r="H31" s="216">
        <f t="shared" si="17"/>
        <v>7996.377199819377</v>
      </c>
      <c r="I31" s="223">
        <f>INDEX(tblMatières[Net cost],MATCH($B31,tblMatières[Material],0))</f>
        <v>635.64689637837682</v>
      </c>
      <c r="J31" s="325">
        <f t="shared" si="18"/>
        <v>5082872.349336003</v>
      </c>
      <c r="K31" s="81">
        <f t="shared" si="19"/>
        <v>8.3534807337318662E-2</v>
      </c>
      <c r="L31" s="334">
        <f t="shared" si="20"/>
        <v>1757097.1542390131</v>
      </c>
    </row>
    <row r="32" spans="1:12">
      <c r="A32" s="38"/>
      <c r="B32" s="37" t="str">
        <f>INDEX(ListeMatières,19)</f>
        <v>Expanded polystyrene food</v>
      </c>
      <c r="C32" s="58">
        <f>INDEX(tblMatières[Generated quantity  
(tonnes)],MATCH($B32,tblMatières[Material],0))</f>
        <v>4326.0749999999998</v>
      </c>
      <c r="D32" s="26">
        <f>INDEX(tblMatières[Recovered quantity  (tonnes)],MATCH($B32,tblMatières[Material],0))</f>
        <v>310.34995403285171</v>
      </c>
      <c r="E32" s="26">
        <f t="shared" si="15"/>
        <v>4015.7250459671482</v>
      </c>
      <c r="F32" s="48">
        <f>INDEX(tblMatières[Reported quantity (tonnes)],MATCH($B32,tblMatières[Material],0))</f>
        <v>4326.0749999999998</v>
      </c>
      <c r="G32" s="209">
        <f t="shared" si="16"/>
        <v>4326.0749999999998</v>
      </c>
      <c r="H32" s="216">
        <f t="shared" si="17"/>
        <v>4015.7250459671482</v>
      </c>
      <c r="I32" s="223">
        <f>INDEX(tblMatières[Net cost],MATCH($B32,tblMatières[Material],0))</f>
        <v>1993.7627691914415</v>
      </c>
      <c r="J32" s="325">
        <f t="shared" si="18"/>
        <v>8006403.08795889</v>
      </c>
      <c r="K32" s="81">
        <f t="shared" si="19"/>
        <v>0.1315817698048091</v>
      </c>
      <c r="L32" s="334">
        <f t="shared" si="20"/>
        <v>2767731.9268859429</v>
      </c>
    </row>
    <row r="33" spans="1:12">
      <c r="A33" s="265"/>
      <c r="B33" s="37" t="str">
        <f>INDEX(ListeMatières,20)</f>
        <v>Expanded polystyrene protection</v>
      </c>
      <c r="C33" s="58">
        <f>INDEX(tblMatières[Generated quantity  
(tonnes)],MATCH($B33,tblMatières[Material],0))</f>
        <v>1850.1969999999999</v>
      </c>
      <c r="D33" s="26">
        <f>INDEX(tblMatières[Recovered quantity  (tonnes)],MATCH($B33,tblMatières[Material],0))</f>
        <v>606.7541775293505</v>
      </c>
      <c r="E33" s="26">
        <f>C33-D33</f>
        <v>1243.4428224706494</v>
      </c>
      <c r="F33" s="48">
        <f>INDEX(tblMatières[Reported quantity (tonnes)],MATCH($B33,tblMatières[Material],0))</f>
        <v>1850.1969999999999</v>
      </c>
      <c r="G33" s="209">
        <f>ObjectifRecup*C33</f>
        <v>1850.1969999999999</v>
      </c>
      <c r="H33" s="216">
        <f>G33-D33</f>
        <v>1243.4428224706494</v>
      </c>
      <c r="I33" s="223">
        <f>INDEX(tblMatières[Net cost],MATCH($B33,tblMatières[Material],0))</f>
        <v>1993.7627691914415</v>
      </c>
      <c r="J33" s="325">
        <f>MAX(0,I33*H33)</f>
        <v>2479130.005060304</v>
      </c>
      <c r="K33" s="81">
        <f t="shared" si="19"/>
        <v>4.0743428735512482E-2</v>
      </c>
      <c r="L33" s="334">
        <f t="shared" si="20"/>
        <v>857009.96946127573</v>
      </c>
    </row>
    <row r="34" spans="1:12">
      <c r="A34" s="38"/>
      <c r="B34" s="37" t="str">
        <f>INDEX(ListeMatières,21)</f>
        <v>Non-expanded polystyrene</v>
      </c>
      <c r="C34" s="58">
        <f>INDEX(tblMatières[Generated quantity  
(tonnes)],MATCH($B34,tblMatières[Material],0))</f>
        <v>5060.2809999999999</v>
      </c>
      <c r="D34" s="26">
        <f>INDEX(tblMatières[Recovered quantity  (tonnes)],MATCH($B34,tblMatières[Material],0))</f>
        <v>1589.2978514450424</v>
      </c>
      <c r="E34" s="26">
        <f t="shared" si="15"/>
        <v>3470.9831485549576</v>
      </c>
      <c r="F34" s="48">
        <f>INDEX(tblMatières[Reported quantity (tonnes)],MATCH($B34,tblMatières[Material],0))</f>
        <v>5060.2809999999999</v>
      </c>
      <c r="G34" s="209">
        <f t="shared" si="16"/>
        <v>5060.2809999999999</v>
      </c>
      <c r="H34" s="216">
        <f t="shared" si="17"/>
        <v>3470.9831485549576</v>
      </c>
      <c r="I34" s="223">
        <f>INDEX(tblMatières[Net cost],MATCH($B34,tblMatières[Material],0))</f>
        <v>381.9396647890232</v>
      </c>
      <c r="J34" s="325">
        <f t="shared" si="18"/>
        <v>1325706.1402474288</v>
      </c>
      <c r="K34" s="81">
        <f t="shared" si="19"/>
        <v>2.1787406686681027E-2</v>
      </c>
      <c r="L34" s="334">
        <f t="shared" si="20"/>
        <v>458283.09788071743</v>
      </c>
    </row>
    <row r="35" spans="1:12">
      <c r="A35" s="38"/>
      <c r="B35" s="37" t="str">
        <f>INDEX(ListeMatières,22)</f>
        <v>PET containers</v>
      </c>
      <c r="C35" s="58">
        <f>INDEX(tblMatières[Generated quantity  
(tonnes)],MATCH($B35,tblMatières[Material],0))</f>
        <v>7067.826</v>
      </c>
      <c r="D35" s="26">
        <f>INDEX(tblMatières[Recovered quantity  (tonnes)],MATCH($B35,tblMatières[Material],0))</f>
        <v>3446.1724346558049</v>
      </c>
      <c r="E35" s="26">
        <f t="shared" si="15"/>
        <v>3621.6535653441952</v>
      </c>
      <c r="F35" s="48">
        <f>INDEX(tblMatières[Reported quantity (tonnes)],MATCH($B35,tblMatières[Material],0))</f>
        <v>7067.826</v>
      </c>
      <c r="G35" s="209">
        <f t="shared" si="16"/>
        <v>7067.826</v>
      </c>
      <c r="H35" s="216">
        <f t="shared" si="17"/>
        <v>3621.6535653441952</v>
      </c>
      <c r="I35" s="223">
        <f>INDEX(tblMatières[Net cost],MATCH($B35,tblMatières[Material],0))</f>
        <v>326.37</v>
      </c>
      <c r="J35" s="325">
        <f t="shared" si="18"/>
        <v>1181999.0741213849</v>
      </c>
      <c r="K35" s="81">
        <f t="shared" si="19"/>
        <v>1.9425643247270905E-2</v>
      </c>
      <c r="L35" s="334">
        <f t="shared" si="20"/>
        <v>408605.03013087594</v>
      </c>
    </row>
    <row r="36" spans="1:12">
      <c r="A36" s="38"/>
      <c r="B36" s="37" t="str">
        <f>INDEX(ListeMatières,23)</f>
        <v>Polylactic acid (PLA) and other degradable plastics</v>
      </c>
      <c r="C36" s="58">
        <f>INDEX(tblMatières[Generated quantity  
(tonnes)],MATCH($B36,tblMatières[Material],0))</f>
        <v>88.733999999999995</v>
      </c>
      <c r="D36" s="26">
        <f>INDEX(tblMatières[Recovered quantity  (tonnes)],MATCH($B36,tblMatières[Material],0))</f>
        <v>18.258565640010666</v>
      </c>
      <c r="E36" s="26">
        <f t="shared" si="15"/>
        <v>70.475434359989322</v>
      </c>
      <c r="F36" s="48">
        <f>INDEX(tblMatières[Reported quantity (tonnes)],MATCH($B36,tblMatières[Material],0))</f>
        <v>88.733999999999995</v>
      </c>
      <c r="G36" s="209">
        <f t="shared" si="16"/>
        <v>88.733999999999995</v>
      </c>
      <c r="H36" s="216">
        <f t="shared" si="17"/>
        <v>70.475434359989322</v>
      </c>
      <c r="I36" s="223">
        <f>INDEX(tblMatières[Net cost],MATCH($B36,tblMatières[Material],0))</f>
        <v>230.50678013679595</v>
      </c>
      <c r="J36" s="325">
        <f t="shared" si="18"/>
        <v>16245.065453063253</v>
      </c>
      <c r="K36" s="81">
        <f t="shared" si="19"/>
        <v>2.6698062031422934E-4</v>
      </c>
      <c r="L36" s="334">
        <f t="shared" si="20"/>
        <v>5615.7535181328712</v>
      </c>
    </row>
    <row r="37" spans="1:12">
      <c r="A37" s="38"/>
      <c r="B37" s="37" t="str">
        <f>INDEX(ListeMatières,24)</f>
        <v>Other plastics, polymers and polyurethane</v>
      </c>
      <c r="C37" s="58">
        <f>INDEX(tblMatières[Generated quantity  
(tonnes)],MATCH($B37,tblMatières[Material],0))</f>
        <v>33319.733</v>
      </c>
      <c r="D37" s="26">
        <f>INDEX(tblMatières[Recovered quantity  (tonnes)],MATCH($B37,tblMatières[Material],0))</f>
        <v>12129.950450506696</v>
      </c>
      <c r="E37" s="26">
        <f t="shared" si="15"/>
        <v>21189.782549493306</v>
      </c>
      <c r="F37" s="48">
        <f>INDEX(tblMatières[Reported quantity (tonnes)],MATCH($B37,tblMatières[Material],0))</f>
        <v>33319.733</v>
      </c>
      <c r="G37" s="210">
        <f t="shared" si="16"/>
        <v>33319.733</v>
      </c>
      <c r="H37" s="216">
        <f t="shared" si="17"/>
        <v>21189.782549493306</v>
      </c>
      <c r="I37" s="223">
        <f>INDEX(tblMatières[Net cost],MATCH($B37,tblMatières[Material],0))</f>
        <v>268.57000000000005</v>
      </c>
      <c r="J37" s="325">
        <f t="shared" si="18"/>
        <v>5690939.8993174182</v>
      </c>
      <c r="K37" s="81">
        <f t="shared" si="19"/>
        <v>9.3528134366750851E-2</v>
      </c>
      <c r="L37" s="334">
        <f t="shared" si="20"/>
        <v>1967299.9073726835</v>
      </c>
    </row>
    <row r="38" spans="1:12">
      <c r="A38" s="43" t="str">
        <f>'Executive Summary'!A37</f>
        <v>TOTAL - Plastic</v>
      </c>
      <c r="B38" s="51"/>
      <c r="C38" s="61">
        <f>SUBTOTAL(9,C27:C37)</f>
        <v>134691.93799999999</v>
      </c>
      <c r="D38" s="24">
        <f t="shared" ref="D38:H38" si="21">SUBTOTAL(9,D27:D37)</f>
        <v>49665.371428973704</v>
      </c>
      <c r="E38" s="24">
        <f t="shared" si="21"/>
        <v>85026.566571026313</v>
      </c>
      <c r="F38" s="30">
        <f t="shared" si="21"/>
        <v>134691.93799999999</v>
      </c>
      <c r="G38" s="60">
        <f t="shared" si="21"/>
        <v>134691.93799999999</v>
      </c>
      <c r="H38" s="22">
        <f t="shared" si="21"/>
        <v>85026.566571026313</v>
      </c>
      <c r="I38" s="226"/>
      <c r="J38" s="330">
        <f t="shared" ref="J38:L38" si="22">SUBTOTAL(9,J27:J37)</f>
        <v>42667522.76574751</v>
      </c>
      <c r="K38" s="89">
        <f t="shared" si="22"/>
        <v>0.70122227135272974</v>
      </c>
      <c r="L38" s="330">
        <f t="shared" si="22"/>
        <v>14749727.649547808</v>
      </c>
    </row>
    <row r="39" spans="1:12">
      <c r="A39" s="46" t="str">
        <f>'Executive Summary'!A38</f>
        <v>Aluminium</v>
      </c>
      <c r="B39" s="37" t="str">
        <f>INDEX(ListeMatières,25)</f>
        <v>Aluminium containers for food and beverages</v>
      </c>
      <c r="C39" s="58">
        <f>INDEX(tblMatières[Generated quantity  
(tonnes)],MATCH($B39,tblMatières[Material],0))</f>
        <v>2927.57</v>
      </c>
      <c r="D39" s="26">
        <f>INDEX(tblMatières[Recovered quantity  (tonnes)],MATCH($B39,tblMatières[Material],0))</f>
        <v>1291.1594981629264</v>
      </c>
      <c r="E39" s="26">
        <f>C39-D39</f>
        <v>1636.4105018370738</v>
      </c>
      <c r="F39" s="48">
        <f>INDEX(tblMatières[Reported quantity (tonnes)],MATCH($B39,tblMatières[Material],0))</f>
        <v>2927.57</v>
      </c>
      <c r="G39" s="209">
        <f t="shared" si="16"/>
        <v>2927.57</v>
      </c>
      <c r="H39" s="216">
        <f t="shared" si="17"/>
        <v>1636.4105018370738</v>
      </c>
      <c r="I39" s="223">
        <f>INDEX(tblMatières[Net cost],MATCH($B39,tblMatières[Material],0))</f>
        <v>-207.05385563368731</v>
      </c>
      <c r="J39" s="325">
        <f>MAX(0,I39*H39)</f>
        <v>0</v>
      </c>
      <c r="K39" s="77">
        <f>$J39/$J$48</f>
        <v>0</v>
      </c>
      <c r="L39" s="325">
        <f>K39*$L$54</f>
        <v>0</v>
      </c>
    </row>
    <row r="40" spans="1:12">
      <c r="A40" s="46"/>
      <c r="B40" s="37" t="str">
        <f>INDEX(ListeMatières,26)</f>
        <v>Other aluminium containers and packaging</v>
      </c>
      <c r="C40" s="58">
        <f>INDEX(tblMatières[Generated quantity  
(tonnes)],MATCH($B40,tblMatières[Material],0))</f>
        <v>2080.9479999999999</v>
      </c>
      <c r="D40" s="26">
        <f>INDEX(tblMatières[Recovered quantity  (tonnes)],MATCH($B40,tblMatières[Material],0))</f>
        <v>222.40040322833309</v>
      </c>
      <c r="E40" s="26">
        <f>C40-D40</f>
        <v>1858.5475967716668</v>
      </c>
      <c r="F40" s="48">
        <f>INDEX(tblMatières[Reported quantity (tonnes)],MATCH($B40,tblMatières[Material],0))</f>
        <v>2080.9479999999999</v>
      </c>
      <c r="G40" s="209">
        <f t="shared" si="16"/>
        <v>2080.9479999999999</v>
      </c>
      <c r="H40" s="216">
        <f t="shared" si="17"/>
        <v>1858.5475967716668</v>
      </c>
      <c r="I40" s="223">
        <f>INDEX(tblMatières[Net cost],MATCH($B40,tblMatières[Material],0))</f>
        <v>-62.330729315310123</v>
      </c>
      <c r="J40" s="325">
        <f>MAX(0,I40*H40)</f>
        <v>0</v>
      </c>
      <c r="K40" s="77">
        <f>$J40/$J$48</f>
        <v>0</v>
      </c>
      <c r="L40" s="325">
        <f>K40*$L$54</f>
        <v>0</v>
      </c>
    </row>
    <row r="41" spans="1:12">
      <c r="A41" s="43" t="str">
        <f>'Executive Summary'!A40</f>
        <v>TOTAL - Aluminium</v>
      </c>
      <c r="B41" s="51"/>
      <c r="C41" s="60">
        <f>SUBTOTAL(9,C39:C40)</f>
        <v>5008.518</v>
      </c>
      <c r="D41" s="22">
        <f t="shared" ref="D41:H41" si="23">SUBTOTAL(9,D39:D40)</f>
        <v>1513.5599013912595</v>
      </c>
      <c r="E41" s="22">
        <f t="shared" si="23"/>
        <v>3494.9580986087403</v>
      </c>
      <c r="F41" s="29">
        <f t="shared" si="23"/>
        <v>5008.518</v>
      </c>
      <c r="G41" s="60">
        <f t="shared" si="23"/>
        <v>5008.518</v>
      </c>
      <c r="H41" s="22">
        <f t="shared" si="23"/>
        <v>3494.9580986087403</v>
      </c>
      <c r="I41" s="226"/>
      <c r="J41" s="330">
        <f t="shared" ref="J41:L41" si="24">SUBTOTAL(9,J39:J40)</f>
        <v>0</v>
      </c>
      <c r="K41" s="89">
        <f t="shared" si="24"/>
        <v>0</v>
      </c>
      <c r="L41" s="330">
        <f t="shared" si="24"/>
        <v>0</v>
      </c>
    </row>
    <row r="42" spans="1:12">
      <c r="A42" s="46" t="str">
        <f>'Executive Summary'!A41</f>
        <v>Steel</v>
      </c>
      <c r="B42" s="37" t="str">
        <f>INDEX(ListeMatières,27)</f>
        <v>Steel aerosol containers</v>
      </c>
      <c r="C42" s="58">
        <f>INDEX(tblMatières[Generated quantity  
(tonnes)],MATCH($B42,tblMatières[Material],0))</f>
        <v>1674.4069999999999</v>
      </c>
      <c r="D42" s="26">
        <f>INDEX(tblMatières[Recovered quantity  (tonnes)],MATCH($B42,tblMatières[Material],0))</f>
        <v>310.16626167182272</v>
      </c>
      <c r="E42" s="26">
        <f>C42-D42</f>
        <v>1364.2407383281773</v>
      </c>
      <c r="F42" s="48">
        <f>INDEX(tblMatières[Reported quantity (tonnes)],MATCH($B42,tblMatières[Material],0))</f>
        <v>1674.4069999999999</v>
      </c>
      <c r="G42" s="208">
        <f t="shared" si="16"/>
        <v>1674.4069999999999</v>
      </c>
      <c r="H42" s="216">
        <f t="shared" si="17"/>
        <v>1364.2407383281773</v>
      </c>
      <c r="I42" s="223">
        <f>INDEX(tblMatières[Net cost],MATCH($B42,tblMatières[Material],0))</f>
        <v>-199.35473578776555</v>
      </c>
      <c r="J42" s="325">
        <f>MAX(0,I42*H42)</f>
        <v>0</v>
      </c>
      <c r="K42" s="77">
        <f>$J42/$J$48</f>
        <v>0</v>
      </c>
      <c r="L42" s="325">
        <f>K42*$L$54</f>
        <v>0</v>
      </c>
    </row>
    <row r="43" spans="1:12">
      <c r="A43" s="46"/>
      <c r="B43" s="37" t="str">
        <f>INDEX(ListeMatières,28)</f>
        <v>Other steel containers</v>
      </c>
      <c r="C43" s="58">
        <f>INDEX(tblMatières[Generated quantity  
(tonnes)],MATCH($B43,tblMatières[Material],0))</f>
        <v>26909.557000000001</v>
      </c>
      <c r="D43" s="26">
        <f>INDEX(tblMatières[Recovered quantity  (tonnes)],MATCH($B43,tblMatières[Material],0))</f>
        <v>15062.447967705493</v>
      </c>
      <c r="E43" s="26">
        <f>C43-D43</f>
        <v>11847.109032294507</v>
      </c>
      <c r="F43" s="48">
        <f>INDEX(tblMatières[Reported quantity (tonnes)],MATCH($B43,tblMatières[Material],0))</f>
        <v>26909.557000000001</v>
      </c>
      <c r="G43" s="209">
        <f t="shared" si="16"/>
        <v>26909.557000000001</v>
      </c>
      <c r="H43" s="216">
        <f t="shared" si="17"/>
        <v>11847.109032294507</v>
      </c>
      <c r="I43" s="223">
        <f>INDEX(tblMatières[Net cost],MATCH($B43,tblMatières[Material],0))</f>
        <v>57.806525548425725</v>
      </c>
      <c r="J43" s="325">
        <f>MAX(0,I43*H43)</f>
        <v>684840.21095031756</v>
      </c>
      <c r="K43" s="77">
        <f>$J43/$J$48</f>
        <v>1.1255052487410346E-2</v>
      </c>
      <c r="L43" s="325">
        <f>K43*$L$54</f>
        <v>236742.27937800655</v>
      </c>
    </row>
    <row r="44" spans="1:12">
      <c r="A44" s="43" t="str">
        <f>'Executive Summary'!A43</f>
        <v>TOTAL - Steel</v>
      </c>
      <c r="B44" s="51"/>
      <c r="C44" s="60">
        <f t="shared" ref="C44:F44" si="25">SUBTOTAL(9,C42:C43)</f>
        <v>28583.964</v>
      </c>
      <c r="D44" s="22">
        <f t="shared" si="25"/>
        <v>15372.614229377315</v>
      </c>
      <c r="E44" s="22">
        <f t="shared" si="25"/>
        <v>13211.349770622684</v>
      </c>
      <c r="F44" s="29">
        <f t="shared" si="25"/>
        <v>28583.964</v>
      </c>
      <c r="G44" s="60">
        <f t="shared" ref="G44" si="26">SUBTOTAL(9,G42:G43)</f>
        <v>28583.964</v>
      </c>
      <c r="H44" s="22">
        <f t="shared" ref="H44" si="27">SUBTOTAL(9,H42:H43)</f>
        <v>13211.349770622684</v>
      </c>
      <c r="I44" s="226"/>
      <c r="J44" s="330">
        <f t="shared" ref="J44" si="28">SUBTOTAL(9,J42:J43)</f>
        <v>684840.21095031756</v>
      </c>
      <c r="K44" s="89">
        <f t="shared" ref="K44" si="29">SUBTOTAL(9,K42:K43)</f>
        <v>1.1255052487410346E-2</v>
      </c>
      <c r="L44" s="330">
        <f t="shared" ref="L44" si="30">SUBTOTAL(9,L42:L43)</f>
        <v>236742.27937800655</v>
      </c>
    </row>
    <row r="45" spans="1:12">
      <c r="A45" s="46" t="str">
        <f>'Executive Summary'!A44</f>
        <v>Glass</v>
      </c>
      <c r="B45" s="37" t="str">
        <f>INDEX(ListeMatières,29)</f>
        <v>Clear glass</v>
      </c>
      <c r="C45" s="58">
        <f>INDEX(tblMatières[Generated quantity  
(tonnes)],MATCH($B45,tblMatières[Material],0))</f>
        <v>54262.898999999998</v>
      </c>
      <c r="D45" s="26">
        <f>INDEX(tblMatières[Recovered quantity  (tonnes)],MATCH($B45,tblMatières[Material],0))</f>
        <v>41916.035629230697</v>
      </c>
      <c r="E45" s="26">
        <f>C45-D45</f>
        <v>12346.863370769301</v>
      </c>
      <c r="F45" s="48">
        <f>INDEX(tblMatières[Reported quantity (tonnes)],MATCH($B45,tblMatières[Material],0))</f>
        <v>54262.898999999998</v>
      </c>
      <c r="G45" s="208">
        <f>ObjectifRecup*C45</f>
        <v>54262.898999999998</v>
      </c>
      <c r="H45" s="216">
        <f>G45-D45</f>
        <v>12346.863370769301</v>
      </c>
      <c r="I45" s="223">
        <f>INDEX(tblMatières[Net cost],MATCH($B45,tblMatières[Material],0))</f>
        <v>179.42087901446925</v>
      </c>
      <c r="J45" s="325">
        <f>MAX(0,I45*H45)</f>
        <v>2215285.0790549805</v>
      </c>
      <c r="K45" s="77">
        <f>$J45/$J$48</f>
        <v>3.6407251561269068E-2</v>
      </c>
      <c r="L45" s="325">
        <f>K45*$L$54</f>
        <v>765801.4682867541</v>
      </c>
    </row>
    <row r="46" spans="1:12">
      <c r="A46" s="46"/>
      <c r="B46" s="242" t="str">
        <f>INDEX(ListeMatières,30)</f>
        <v>Coloured glass</v>
      </c>
      <c r="C46" s="58">
        <f>INDEX(tblMatières[Generated quantity  
(tonnes)],MATCH($B46,tblMatières[Material],0))</f>
        <v>82425.142000000007</v>
      </c>
      <c r="D46" s="26">
        <f>INDEX(tblMatières[Recovered quantity  (tonnes)],MATCH($B46,tblMatières[Material],0))</f>
        <v>63670.302407108764</v>
      </c>
      <c r="E46" s="26">
        <f>C46-D46</f>
        <v>18754.839592891243</v>
      </c>
      <c r="F46" s="48">
        <f>INDEX(tblMatières[Reported quantity (tonnes)],MATCH($B46,tblMatières[Material],0))</f>
        <v>82425.142000000007</v>
      </c>
      <c r="G46" s="210">
        <f>ObjectifRecup*C46</f>
        <v>82425.142000000007</v>
      </c>
      <c r="H46" s="216">
        <f>G46-D46</f>
        <v>18754.839592891243</v>
      </c>
      <c r="I46" s="223">
        <f>INDEX(tblMatières[Net cost],MATCH($B46,tblMatières[Material],0))</f>
        <v>180.45839822769358</v>
      </c>
      <c r="J46" s="325">
        <f>MAX(0,I46*H46)</f>
        <v>3384468.3119504824</v>
      </c>
      <c r="K46" s="77">
        <f>$J46/$J$48</f>
        <v>5.5622272004327768E-2</v>
      </c>
      <c r="L46" s="325">
        <f>K46*$L$54</f>
        <v>1169976.1927558873</v>
      </c>
    </row>
    <row r="47" spans="1:12">
      <c r="A47" s="43" t="str">
        <f>'Executive Summary'!A46</f>
        <v>TOTAL - Glass</v>
      </c>
      <c r="B47" s="51"/>
      <c r="C47" s="60">
        <f t="shared" ref="C47" si="31">SUBTOTAL(9,C45:C46)</f>
        <v>136688.041</v>
      </c>
      <c r="D47" s="22">
        <f t="shared" ref="D47" si="32">SUBTOTAL(9,D45:D46)</f>
        <v>105586.33803633947</v>
      </c>
      <c r="E47" s="22">
        <f t="shared" ref="E47" si="33">SUBTOTAL(9,E45:E46)</f>
        <v>31101.702963660544</v>
      </c>
      <c r="F47" s="29">
        <f t="shared" ref="F47" si="34">SUBTOTAL(9,F45:F46)</f>
        <v>136688.041</v>
      </c>
      <c r="G47" s="60">
        <f t="shared" ref="G47" si="35">SUBTOTAL(9,G45:G46)</f>
        <v>136688.041</v>
      </c>
      <c r="H47" s="22">
        <f t="shared" ref="H47" si="36">SUBTOTAL(9,H45:H46)</f>
        <v>31101.702963660544</v>
      </c>
      <c r="I47" s="226"/>
      <c r="J47" s="330">
        <f t="shared" ref="J47" si="37">SUBTOTAL(9,J45:J46)</f>
        <v>5599753.391005463</v>
      </c>
      <c r="K47" s="89">
        <f t="shared" ref="K47" si="38">SUBTOTAL(9,K45:K46)</f>
        <v>9.2029523565596835E-2</v>
      </c>
      <c r="L47" s="330">
        <f t="shared" ref="L47" si="39">SUBTOTAL(9,L45:L46)</f>
        <v>1935777.6610426414</v>
      </c>
    </row>
    <row r="48" spans="1:12" ht="15.75" thickBot="1">
      <c r="A48" s="56" t="str">
        <f>'Executive Summary'!A47</f>
        <v>TOTAL - CONTAINERS AND PACKAGING</v>
      </c>
      <c r="B48" s="52"/>
      <c r="C48" s="147">
        <f>SUBTOTAL(9,C19:C47)</f>
        <v>483750.19400000002</v>
      </c>
      <c r="D48" s="27">
        <f t="shared" ref="D48:H48" si="40">SUBTOTAL(9,D19:D47)</f>
        <v>278117.2121324644</v>
      </c>
      <c r="E48" s="27">
        <f t="shared" si="40"/>
        <v>205632.98186753556</v>
      </c>
      <c r="F48" s="148">
        <f t="shared" si="40"/>
        <v>483750.19400000002</v>
      </c>
      <c r="G48" s="59">
        <f t="shared" si="40"/>
        <v>483750.19400000002</v>
      </c>
      <c r="H48" s="21">
        <f t="shared" si="40"/>
        <v>205632.98186753556</v>
      </c>
      <c r="I48" s="225"/>
      <c r="J48" s="327">
        <f t="shared" ref="J48:L48" si="41">SUBTOTAL(9,J19:J47)</f>
        <v>60847358.261222214</v>
      </c>
      <c r="K48" s="91">
        <f t="shared" si="41"/>
        <v>1.0000000000000002</v>
      </c>
      <c r="L48" s="327">
        <f t="shared" si="41"/>
        <v>21034311.447487369</v>
      </c>
    </row>
    <row r="49" spans="1:12">
      <c r="A49" s="38"/>
      <c r="B49" s="39"/>
      <c r="C49" s="38"/>
      <c r="D49" s="35"/>
      <c r="E49" s="35"/>
      <c r="F49" s="39"/>
      <c r="G49" s="213"/>
      <c r="H49" s="187"/>
      <c r="I49" s="227"/>
      <c r="J49" s="331"/>
      <c r="K49" s="65"/>
      <c r="L49" s="331"/>
    </row>
    <row r="50" spans="1:12" ht="15.75" thickBot="1">
      <c r="A50" s="57" t="str">
        <f>'Executive Summary'!A49</f>
        <v>TOTAL</v>
      </c>
      <c r="B50" s="53"/>
      <c r="C50" s="62">
        <f>SUBTOTAL(9,C10:C48)</f>
        <v>644994.44999999995</v>
      </c>
      <c r="D50" s="25">
        <f t="shared" ref="D50:H50" si="42">SUBTOTAL(9,D10:D48)</f>
        <v>406590.86812763795</v>
      </c>
      <c r="E50" s="25">
        <f t="shared" si="42"/>
        <v>238403.58187236209</v>
      </c>
      <c r="F50" s="31">
        <f t="shared" si="42"/>
        <v>644994.44999999995</v>
      </c>
      <c r="G50" s="214">
        <f t="shared" si="42"/>
        <v>644994.44999999995</v>
      </c>
      <c r="H50" s="220">
        <f t="shared" si="42"/>
        <v>238403.58187236209</v>
      </c>
      <c r="I50" s="228"/>
      <c r="J50" s="332">
        <f>SUBTOTAL(9,J10:J48)</f>
        <v>64080125.342883691</v>
      </c>
      <c r="K50" s="86"/>
      <c r="L50" s="332">
        <f>SUBTOTAL(9,L10:L48)</f>
        <v>26709772.394375473</v>
      </c>
    </row>
    <row r="51" spans="1:12" ht="15.75" thickTop="1">
      <c r="A51" s="38"/>
      <c r="B51" s="35"/>
      <c r="G51" s="37"/>
      <c r="H51" s="37"/>
      <c r="I51" s="134"/>
      <c r="J51" s="134"/>
      <c r="K51" s="37"/>
      <c r="L51" s="335"/>
    </row>
    <row r="52" spans="1:12">
      <c r="A52" s="42" t="str">
        <f>'Factor 1'!$A$52</f>
        <v>Distribution of the cost of the factor per class</v>
      </c>
      <c r="B52" s="97"/>
      <c r="C52" s="96"/>
      <c r="D52" s="96"/>
      <c r="E52" s="96"/>
      <c r="F52" s="96"/>
      <c r="G52" s="96"/>
      <c r="H52" s="96"/>
      <c r="I52" s="135"/>
      <c r="J52" s="135"/>
      <c r="K52" s="96"/>
      <c r="L52" s="336"/>
    </row>
    <row r="53" spans="1:12">
      <c r="A53" s="100" t="str">
        <f>'Factor 1'!$A$53</f>
        <v>Printed matter</v>
      </c>
      <c r="B53" s="98"/>
      <c r="C53" s="95"/>
      <c r="D53" s="95"/>
      <c r="E53" s="95"/>
      <c r="F53" s="95"/>
      <c r="G53" s="95"/>
      <c r="H53" s="95"/>
      <c r="I53" s="136"/>
      <c r="J53" s="136"/>
      <c r="K53" s="95"/>
      <c r="L53" s="337">
        <f>'Net Costs'!$G48*$G$8</f>
        <v>5675460.9468881059</v>
      </c>
    </row>
    <row r="54" spans="1:12">
      <c r="A54" s="101" t="str">
        <f>'Factor 1'!$A$54</f>
        <v>Containers and packaging</v>
      </c>
      <c r="B54" s="49"/>
      <c r="C54" s="54"/>
      <c r="D54" s="54"/>
      <c r="E54" s="54"/>
      <c r="F54" s="54"/>
      <c r="G54" s="54"/>
      <c r="H54" s="54"/>
      <c r="I54" s="137"/>
      <c r="J54" s="137"/>
      <c r="K54" s="54"/>
      <c r="L54" s="338">
        <f>'Net Costs'!$G49*$G$8</f>
        <v>21034311.447487362</v>
      </c>
    </row>
  </sheetData>
  <sheetProtection password="82A0" sheet="1" objects="1" scenarios="1"/>
  <mergeCells count="2">
    <mergeCell ref="C6:F6"/>
    <mergeCell ref="G6:L6"/>
  </mergeCells>
  <pageMargins left="0.7" right="0.7" top="0.75" bottom="0.75" header="0.3" footer="0.3"/>
  <pageSetup scale="43" fitToHeight="0" orientation="landscape" r:id="rId1"/>
  <colBreaks count="1" manualBreakCount="1">
    <brk id="7" max="50" man="1"/>
  </colBreaks>
  <ignoredErrors>
    <ignoredError sqref="I17:L18 J19:L25 J49:L49 K50" evalError="1"/>
    <ignoredError sqref="J45:L46" evalError="1" formula="1"/>
    <ignoredError sqref="C34:L37 I26 C45:I46 C27:L32 C39:L40 I38 C42:L43 I41 I44 I47" formula="1"/>
  </ignoredErrors>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C000"/>
    <pageSetUpPr fitToPage="1"/>
  </sheetPr>
  <dimension ref="A1:I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C7" sqref="C7:G7"/>
    </sheetView>
  </sheetViews>
  <sheetFormatPr baseColWidth="10" defaultColWidth="13.42578125" defaultRowHeight="15"/>
  <cols>
    <col min="1" max="1" width="26.5703125" customWidth="1"/>
    <col min="2" max="2" width="74.7109375" customWidth="1"/>
    <col min="3" max="3" width="16.5703125" bestFit="1" customWidth="1"/>
    <col min="4" max="4" width="19" customWidth="1"/>
    <col min="5" max="5" width="17.42578125" customWidth="1"/>
    <col min="6" max="6" width="17.42578125" bestFit="1" customWidth="1"/>
    <col min="7" max="7" width="22" bestFit="1" customWidth="1"/>
  </cols>
  <sheetData>
    <row r="1" spans="1:9" s="159" customFormat="1" ht="15.75" thickBot="1">
      <c r="A1" s="4" t="s">
        <v>175</v>
      </c>
      <c r="B1" s="36"/>
    </row>
    <row r="2" spans="1:9" ht="6.75" customHeight="1" thickBot="1"/>
    <row r="3" spans="1:9" ht="18.75" thickBot="1">
      <c r="A3" s="93" t="str">
        <f>Parameters!B4</f>
        <v>Schedule</v>
      </c>
      <c r="B3" s="245">
        <f>AnnéeTarif</f>
        <v>2015</v>
      </c>
    </row>
    <row r="4" spans="1:9" ht="18.75" thickBot="1">
      <c r="A4" s="93" t="str">
        <f>Parameters!B5</f>
        <v>Scenario</v>
      </c>
      <c r="B4" s="245" t="str">
        <f>Parameters!C5</f>
        <v>Final July 2016</v>
      </c>
    </row>
    <row r="5" spans="1:9" ht="18.75" thickBot="1">
      <c r="A5" s="93" t="str">
        <f>Parameters!B6</f>
        <v>Reference Year</v>
      </c>
      <c r="B5" s="94">
        <f>AnnéeRéf</f>
        <v>2014</v>
      </c>
    </row>
    <row r="6" spans="1:9" ht="15" customHeight="1" thickBot="1">
      <c r="C6" s="660" t="str">
        <f>A1</f>
        <v>RECYC-QUÉBEC allowance and admin. Expenses</v>
      </c>
      <c r="D6" s="661"/>
      <c r="E6" s="661"/>
      <c r="F6" s="661"/>
      <c r="G6" s="661"/>
    </row>
    <row r="7" spans="1:9" ht="60">
      <c r="A7" s="42" t="str">
        <f>'Executive Summary'!A7</f>
        <v>CLASS</v>
      </c>
      <c r="B7" s="9" t="str">
        <f>'Executive Summary'!B7</f>
        <v>Material</v>
      </c>
      <c r="C7" s="631" t="s">
        <v>105</v>
      </c>
      <c r="D7" s="632" t="s">
        <v>176</v>
      </c>
      <c r="E7" s="632" t="s">
        <v>177</v>
      </c>
      <c r="F7" s="632" t="s">
        <v>178</v>
      </c>
      <c r="G7" s="632" t="s">
        <v>179</v>
      </c>
    </row>
    <row r="8" spans="1:9">
      <c r="A8" s="70"/>
      <c r="B8" s="72"/>
      <c r="C8" s="70"/>
      <c r="D8" s="71"/>
      <c r="E8" s="71"/>
      <c r="F8" s="71"/>
      <c r="G8" s="71"/>
    </row>
    <row r="9" spans="1:9">
      <c r="A9" s="43" t="str">
        <f>'Executive Summary'!A8</f>
        <v>PRINTED MATTER</v>
      </c>
      <c r="B9" s="11"/>
      <c r="C9" s="110"/>
      <c r="D9" s="111"/>
      <c r="E9" s="11"/>
      <c r="F9" s="111"/>
      <c r="G9" s="111"/>
    </row>
    <row r="10" spans="1:9">
      <c r="A10" s="38"/>
      <c r="B10" s="37" t="str">
        <f>INDEX(ListeMatières,1)</f>
        <v>Newsprint inserts and circulars</v>
      </c>
      <c r="C10" s="106">
        <f>INDEX(tblMatières[Specific study],MATCH($B10,tblMatières[Material],0))</f>
        <v>0</v>
      </c>
      <c r="D10" s="48">
        <f>INDEX(tblMatières[Reported quantity (tonnes)],MATCH($B10,tblMatières[Material],0))</f>
        <v>100503.348</v>
      </c>
      <c r="E10" s="144">
        <f>INDEX(tblMatières[Nb reportings],MATCH($B10,tblMatières[Material],0))</f>
        <v>129</v>
      </c>
      <c r="F10" s="302">
        <f t="shared" ref="F10:F15" si="0">D10/$D$16 * $E$16/$E$50 * FraisGestionImputés</f>
        <v>896443.43770314101</v>
      </c>
      <c r="G10" s="630">
        <f t="shared" ref="G10:G15" si="1">C10+F10</f>
        <v>896443.43770314101</v>
      </c>
      <c r="I10" s="460"/>
    </row>
    <row r="11" spans="1:9">
      <c r="A11" s="38"/>
      <c r="B11" s="37" t="str">
        <f>INDEX(ListeMatières,2)</f>
        <v>Catalogues and publications</v>
      </c>
      <c r="C11" s="106">
        <f>INDEX(tblMatières[Specific study],MATCH($B11,tblMatières[Material],0))</f>
        <v>0</v>
      </c>
      <c r="D11" s="48">
        <f>INDEX(tblMatières[Reported quantity (tonnes)],MATCH($B11,tblMatières[Material],0))</f>
        <v>16909.731</v>
      </c>
      <c r="E11" s="144">
        <f>INDEX(tblMatières[Nb reportings],MATCH($B11,tblMatières[Material],0))</f>
        <v>174</v>
      </c>
      <c r="F11" s="302">
        <f t="shared" si="0"/>
        <v>150826.98924890911</v>
      </c>
      <c r="G11" s="630">
        <f t="shared" si="1"/>
        <v>150826.98924890911</v>
      </c>
      <c r="I11" s="460"/>
    </row>
    <row r="12" spans="1:9">
      <c r="A12" s="38"/>
      <c r="B12" s="37" t="str">
        <f>INDEX(ListeMatières,3)</f>
        <v>Magazines</v>
      </c>
      <c r="C12" s="106">
        <f>INDEX(tblMatières[Specific study],MATCH($B12,tblMatières[Material],0))</f>
        <v>0</v>
      </c>
      <c r="D12" s="48">
        <f>INDEX(tblMatières[Reported quantity (tonnes)],MATCH($B12,tblMatières[Material],0))</f>
        <v>10816.571</v>
      </c>
      <c r="E12" s="144">
        <f>INDEX(tblMatières[Nb reportings],MATCH($B12,tblMatières[Material],0))</f>
        <v>47</v>
      </c>
      <c r="F12" s="302">
        <f t="shared" si="0"/>
        <v>96478.816719619135</v>
      </c>
      <c r="G12" s="630">
        <f t="shared" si="1"/>
        <v>96478.816719619135</v>
      </c>
      <c r="I12" s="460"/>
    </row>
    <row r="13" spans="1:9">
      <c r="A13" s="38"/>
      <c r="B13" s="37" t="str">
        <f>INDEX(ListeMatières,4)</f>
        <v>Telephone books</v>
      </c>
      <c r="C13" s="106">
        <f>INDEX(tblMatières[Specific study],MATCH($B13,tblMatières[Material],0))</f>
        <v>0</v>
      </c>
      <c r="D13" s="48">
        <f>INDEX(tblMatières[Reported quantity (tonnes)],MATCH($B13,tblMatières[Material],0))</f>
        <v>1956.9110000000001</v>
      </c>
      <c r="E13" s="144">
        <f>INDEX(tblMatières[Nb reportings],MATCH($B13,tblMatières[Material],0))</f>
        <v>2</v>
      </c>
      <c r="F13" s="302">
        <f t="shared" si="0"/>
        <v>17454.7421456954</v>
      </c>
      <c r="G13" s="630">
        <f t="shared" si="1"/>
        <v>17454.7421456954</v>
      </c>
      <c r="I13" s="460"/>
    </row>
    <row r="14" spans="1:9">
      <c r="A14" s="38"/>
      <c r="B14" s="37" t="str">
        <f>INDEX(ListeMatières,5)</f>
        <v>Paper for general use</v>
      </c>
      <c r="C14" s="106">
        <f>INDEX(tblMatières[Specific study],MATCH($B14,tblMatières[Material],0))</f>
        <v>0</v>
      </c>
      <c r="D14" s="48">
        <f>INDEX(tblMatières[Reported quantity (tonnes)],MATCH($B14,tblMatières[Material],0))</f>
        <v>4514.6930000000002</v>
      </c>
      <c r="E14" s="144">
        <f>INDEX(tblMatières[Nb reportings],MATCH($B14,tblMatières[Material],0))</f>
        <v>107</v>
      </c>
      <c r="F14" s="302">
        <f t="shared" si="0"/>
        <v>40268.976045398078</v>
      </c>
      <c r="G14" s="630">
        <f t="shared" si="1"/>
        <v>40268.976045398078</v>
      </c>
      <c r="I14" s="460"/>
    </row>
    <row r="15" spans="1:9">
      <c r="A15" s="38"/>
      <c r="B15" s="37" t="str">
        <f>INDEX(ListeMatières,6)</f>
        <v>Other printed matter</v>
      </c>
      <c r="C15" s="106">
        <f>INDEX(tblMatières[Specific study],MATCH($B15,tblMatières[Material],0))</f>
        <v>0</v>
      </c>
      <c r="D15" s="48">
        <f>INDEX(tblMatières[Reported quantity (tonnes)],MATCH($B15,tblMatières[Material],0))</f>
        <v>26543.002</v>
      </c>
      <c r="E15" s="144">
        <f>INDEX(tblMatières[Nb reportings],MATCH($B15,tblMatières[Material],0))</f>
        <v>543</v>
      </c>
      <c r="F15" s="302">
        <f t="shared" si="0"/>
        <v>236751.31658142721</v>
      </c>
      <c r="G15" s="630">
        <f t="shared" si="1"/>
        <v>236751.31658142721</v>
      </c>
      <c r="I15" s="460"/>
    </row>
    <row r="16" spans="1:9" ht="15.75" thickBot="1">
      <c r="A16" s="55" t="str">
        <f>'Executive Summary'!A15</f>
        <v>TOTAL - PRINTED MATTER</v>
      </c>
      <c r="B16" s="20"/>
      <c r="C16" s="108">
        <f>SUBTOTAL(9,C10:C15)</f>
        <v>0</v>
      </c>
      <c r="D16" s="21">
        <f>SUBTOTAL(9,D10:D15)</f>
        <v>161244.25599999999</v>
      </c>
      <c r="E16" s="59">
        <f t="shared" ref="E16:G16" si="2">SUBTOTAL(9,E10:E15)</f>
        <v>1002</v>
      </c>
      <c r="F16" s="304">
        <f t="shared" si="2"/>
        <v>1438224.2784441898</v>
      </c>
      <c r="G16" s="304">
        <f t="shared" si="2"/>
        <v>1438224.2784441898</v>
      </c>
      <c r="I16" s="446"/>
    </row>
    <row r="17" spans="1:9">
      <c r="A17" s="38"/>
      <c r="B17" s="35"/>
      <c r="C17" s="106"/>
      <c r="D17" s="144"/>
      <c r="E17" s="37"/>
      <c r="F17" s="302"/>
      <c r="G17" s="302"/>
    </row>
    <row r="18" spans="1:9">
      <c r="A18" s="43" t="str">
        <f>'Executive Summary'!A17</f>
        <v>CONTAINERS AND PACKAGING</v>
      </c>
      <c r="B18" s="11"/>
      <c r="C18" s="110"/>
      <c r="D18" s="219"/>
      <c r="E18" s="11"/>
      <c r="F18" s="309"/>
      <c r="G18" s="309"/>
    </row>
    <row r="19" spans="1:9">
      <c r="A19" s="46" t="str">
        <f>'Executive Summary'!A18</f>
        <v>Paperboard</v>
      </c>
      <c r="B19" s="37" t="str">
        <f>INDEX(ListeMatières,7)</f>
        <v>Corrugated cardboard</v>
      </c>
      <c r="C19" s="106">
        <f>INDEX(tblMatières[Specific study],MATCH($B19,tblMatières[Material],0))</f>
        <v>0</v>
      </c>
      <c r="D19" s="48">
        <f>INDEX(tblMatières[Reported quantity (tonnes)],MATCH($B19,tblMatières[Material],0))</f>
        <v>57170.796000000002</v>
      </c>
      <c r="E19" s="144">
        <f>INDEX(tblMatières[Nb reportings],MATCH($B19,tblMatières[Material],0))</f>
        <v>443</v>
      </c>
      <c r="F19" s="302">
        <f t="shared" ref="F19:F25" si="3">D19/D$26 * $E$26/$E$50 * FraisGestionImputés</f>
        <v>716510.58467169234</v>
      </c>
      <c r="G19" s="630">
        <f t="shared" ref="G19:G25" si="4">C19+F19</f>
        <v>716510.58467169234</v>
      </c>
      <c r="I19" s="446"/>
    </row>
    <row r="20" spans="1:9">
      <c r="A20" s="46"/>
      <c r="B20" s="37" t="str">
        <f>INDEX(ListeMatières,8)</f>
        <v>Kraft paper shopping bags</v>
      </c>
      <c r="C20" s="106">
        <f>INDEX(tblMatières[Specific study],MATCH($B20,tblMatières[Material],0))</f>
        <v>0</v>
      </c>
      <c r="D20" s="48">
        <f>INDEX(tblMatières[Reported quantity (tonnes)],MATCH($B20,tblMatières[Material],0))</f>
        <v>2779.5329999999999</v>
      </c>
      <c r="E20" s="144">
        <f>INDEX(tblMatières[Nb reportings],MATCH($B20,tblMatières[Material],0))</f>
        <v>59</v>
      </c>
      <c r="F20" s="302">
        <f t="shared" si="3"/>
        <v>34835.352212767219</v>
      </c>
      <c r="G20" s="630">
        <f t="shared" si="4"/>
        <v>34835.352212767219</v>
      </c>
      <c r="I20" s="446"/>
    </row>
    <row r="21" spans="1:9">
      <c r="A21" s="46"/>
      <c r="B21" s="37" t="str">
        <f>INDEX(ListeMatières,9)</f>
        <v>Kraft paper packaging</v>
      </c>
      <c r="C21" s="106">
        <f>INDEX(tblMatières[Specific study],MATCH($B21,tblMatières[Material],0))</f>
        <v>0</v>
      </c>
      <c r="D21" s="48">
        <f>INDEX(tblMatières[Reported quantity (tonnes)],MATCH($B21,tblMatières[Material],0))</f>
        <v>311.67700000000002</v>
      </c>
      <c r="E21" s="144">
        <f>INDEX(tblMatières[Nb reportings],MATCH($B21,tblMatières[Material],0))</f>
        <v>27</v>
      </c>
      <c r="F21" s="302">
        <f t="shared" si="3"/>
        <v>3906.1878637953387</v>
      </c>
      <c r="G21" s="630">
        <f t="shared" si="4"/>
        <v>3906.1878637953387</v>
      </c>
      <c r="I21" s="446"/>
    </row>
    <row r="22" spans="1:9">
      <c r="A22" s="46"/>
      <c r="B22" s="37" t="str">
        <f>INDEX(ListeMatières,10)</f>
        <v>Boxboard / Other paper packaging</v>
      </c>
      <c r="C22" s="106">
        <f>INDEX(tblMatières[Specific study],MATCH($B22,tblMatières[Material],0))</f>
        <v>0</v>
      </c>
      <c r="D22" s="48">
        <f>INDEX(tblMatières[Reported quantity (tonnes)],MATCH($B22,tblMatières[Material],0))</f>
        <v>87558.263999999996</v>
      </c>
      <c r="E22" s="144">
        <f>INDEX(tblMatières[Nb reportings],MATCH($B22,tblMatières[Material],0))</f>
        <v>646</v>
      </c>
      <c r="F22" s="302">
        <f t="shared" si="3"/>
        <v>1097350.8735382729</v>
      </c>
      <c r="G22" s="630">
        <f t="shared" si="4"/>
        <v>1097350.8735382729</v>
      </c>
      <c r="I22" s="446"/>
    </row>
    <row r="23" spans="1:9">
      <c r="A23" s="46"/>
      <c r="B23" s="37" t="str">
        <f>INDEX(ListeMatières,11)</f>
        <v>Gable-top containers</v>
      </c>
      <c r="C23" s="106">
        <f>INDEX(tblMatières[Specific study],MATCH($B23,tblMatières[Material],0))</f>
        <v>0</v>
      </c>
      <c r="D23" s="48">
        <f>INDEX(tblMatières[Reported quantity (tonnes)],MATCH($B23,tblMatières[Material],0))</f>
        <v>12195.59</v>
      </c>
      <c r="E23" s="144">
        <f>INDEX(tblMatières[Nb reportings],MATCH($B23,tblMatières[Material],0))</f>
        <v>44</v>
      </c>
      <c r="F23" s="302">
        <f t="shared" si="3"/>
        <v>152844.98262567911</v>
      </c>
      <c r="G23" s="630">
        <f t="shared" si="4"/>
        <v>152844.98262567911</v>
      </c>
      <c r="I23" s="446"/>
    </row>
    <row r="24" spans="1:9">
      <c r="A24" s="46"/>
      <c r="B24" s="37" t="str">
        <f>INDEX(ListeMatières,12)</f>
        <v>Paper laminants</v>
      </c>
      <c r="C24" s="106">
        <f>INDEX(tblMatières[Specific study],MATCH($B24,tblMatières[Material],0))</f>
        <v>0</v>
      </c>
      <c r="D24" s="48">
        <f>INDEX(tblMatières[Reported quantity (tonnes)],MATCH($B24,tblMatières[Material],0))</f>
        <v>12555.716</v>
      </c>
      <c r="E24" s="144">
        <f>INDEX(tblMatières[Nb reportings],MATCH($B24,tblMatières[Material],0))</f>
        <v>299</v>
      </c>
      <c r="F24" s="302">
        <f t="shared" si="3"/>
        <v>157358.3724832469</v>
      </c>
      <c r="G24" s="630">
        <f t="shared" si="4"/>
        <v>157358.3724832469</v>
      </c>
      <c r="I24" s="446"/>
    </row>
    <row r="25" spans="1:9">
      <c r="A25" s="46"/>
      <c r="B25" s="37" t="str">
        <f>INDEX(ListeMatières,13)</f>
        <v>Aseptic containers</v>
      </c>
      <c r="C25" s="106">
        <f>INDEX(tblMatières[Specific study],MATCH($B25,tblMatières[Material],0))</f>
        <v>0</v>
      </c>
      <c r="D25" s="48">
        <f>INDEX(tblMatières[Reported quantity (tonnes)],MATCH($B25,tblMatières[Material],0))</f>
        <v>6206.1570000000002</v>
      </c>
      <c r="E25" s="144">
        <f>INDEX(tblMatières[Nb reportings],MATCH($B25,tblMatières[Material],0))</f>
        <v>43</v>
      </c>
      <c r="F25" s="302">
        <f t="shared" si="3"/>
        <v>77780.571406322852</v>
      </c>
      <c r="G25" s="630">
        <f t="shared" si="4"/>
        <v>77780.571406322852</v>
      </c>
      <c r="I25" s="446"/>
    </row>
    <row r="26" spans="1:9">
      <c r="A26" s="43" t="str">
        <f>'Executive Summary'!A25</f>
        <v>TOTAL - Paperboard</v>
      </c>
      <c r="B26" s="10"/>
      <c r="C26" s="112">
        <f>SUBTOTAL(9,C19:C25)</f>
        <v>0</v>
      </c>
      <c r="D26" s="22">
        <f t="shared" ref="D26:G26" si="5">SUBTOTAL(9,D19:D25)</f>
        <v>178777.73300000001</v>
      </c>
      <c r="E26" s="60">
        <f t="shared" si="5"/>
        <v>1561</v>
      </c>
      <c r="F26" s="305">
        <f t="shared" si="5"/>
        <v>2240586.9248017767</v>
      </c>
      <c r="G26" s="305">
        <f t="shared" si="5"/>
        <v>2240586.9248017767</v>
      </c>
      <c r="I26" s="446"/>
    </row>
    <row r="27" spans="1:9">
      <c r="A27" s="46" t="str">
        <f>'Executive Summary'!A26</f>
        <v>Plastic</v>
      </c>
      <c r="B27" s="37" t="str">
        <f>INDEX(ListeMatières,14)</f>
        <v>PET bottles</v>
      </c>
      <c r="C27" s="106">
        <f>INDEX(tblMatières[Specific study],MATCH($B27,tblMatières[Material],0))</f>
        <v>0</v>
      </c>
      <c r="D27" s="48">
        <f>INDEX(tblMatières[Reported quantity (tonnes)],MATCH($B27,tblMatières[Material],0))</f>
        <v>23176.743999999999</v>
      </c>
      <c r="E27" s="144">
        <f>INDEX(tblMatières[Nb reportings],MATCH($B27,tblMatières[Material],0))</f>
        <v>190</v>
      </c>
      <c r="F27" s="302">
        <f t="shared" ref="F27:F37" si="6">D27/D$38 * $E$38/$E$50 * FraisGestionImputés</f>
        <v>611533.64609201427</v>
      </c>
      <c r="G27" s="630">
        <f t="shared" ref="G27:G37" si="7">C27+F27</f>
        <v>611533.64609201427</v>
      </c>
      <c r="I27" s="446"/>
    </row>
    <row r="28" spans="1:9">
      <c r="A28" s="38"/>
      <c r="B28" s="37" t="str">
        <f>INDEX(ListeMatières,15)</f>
        <v>HDPE bottles</v>
      </c>
      <c r="C28" s="106">
        <f>INDEX(tblMatières[Specific study],MATCH($B28,tblMatières[Material],0))</f>
        <v>0</v>
      </c>
      <c r="D28" s="48">
        <f>INDEX(tblMatières[Reported quantity (tonnes)],MATCH($B28,tblMatières[Material],0))</f>
        <v>16609.435000000001</v>
      </c>
      <c r="E28" s="144">
        <f>INDEX(tblMatières[Nb reportings],MATCH($B28,tblMatières[Material],0))</f>
        <v>265</v>
      </c>
      <c r="F28" s="302">
        <f t="shared" si="6"/>
        <v>438250.8753204642</v>
      </c>
      <c r="G28" s="630">
        <f t="shared" si="7"/>
        <v>438250.8753204642</v>
      </c>
      <c r="I28" s="446"/>
    </row>
    <row r="29" spans="1:9">
      <c r="A29" s="38"/>
      <c r="B29" s="37" t="str">
        <f>INDEX(ListeMatières,16)</f>
        <v>Plastic laminants</v>
      </c>
      <c r="C29" s="106">
        <f>INDEX(tblMatières[Specific study],MATCH($B29,tblMatières[Material],0))</f>
        <v>0</v>
      </c>
      <c r="D29" s="48">
        <f>INDEX(tblMatières[Reported quantity (tonnes)],MATCH($B29,tblMatières[Material],0))</f>
        <v>12064.946</v>
      </c>
      <c r="E29" s="144">
        <f>INDEX(tblMatières[Nb reportings],MATCH($B29,tblMatières[Material],0))</f>
        <v>355</v>
      </c>
      <c r="F29" s="302">
        <f t="shared" si="6"/>
        <v>318341.54173180077</v>
      </c>
      <c r="G29" s="630">
        <f t="shared" si="7"/>
        <v>318341.54173180077</v>
      </c>
      <c r="I29" s="446"/>
    </row>
    <row r="30" spans="1:9">
      <c r="A30" s="38"/>
      <c r="B30" s="37" t="str">
        <f>INDEX(ListeMatières,17)</f>
        <v>HDPE and LDPE plastic film</v>
      </c>
      <c r="C30" s="106">
        <f>INDEX(tblMatières[Specific study],MATCH($B30,tblMatières[Material],0))</f>
        <v>0</v>
      </c>
      <c r="D30" s="48">
        <f>INDEX(tblMatières[Reported quantity (tonnes)],MATCH($B30,tblMatières[Material],0))</f>
        <v>21920.366999999998</v>
      </c>
      <c r="E30" s="144">
        <f>INDEX(tblMatières[Nb reportings],MATCH($B30,tblMatières[Material],0))</f>
        <v>470</v>
      </c>
      <c r="F30" s="302">
        <f t="shared" si="6"/>
        <v>578383.31196069077</v>
      </c>
      <c r="G30" s="630">
        <f t="shared" si="7"/>
        <v>578383.31196069077</v>
      </c>
      <c r="I30" s="446"/>
    </row>
    <row r="31" spans="1:9">
      <c r="A31" s="38"/>
      <c r="B31" s="37" t="str">
        <f>INDEX(ListeMatières,18)</f>
        <v>HDPE and LDPE plastic shopping bags</v>
      </c>
      <c r="C31" s="106">
        <f>INDEX(tblMatières[Specific study],MATCH($B31,tblMatières[Material],0))</f>
        <v>0</v>
      </c>
      <c r="D31" s="48">
        <f>INDEX(tblMatières[Reported quantity (tonnes)],MATCH($B31,tblMatières[Material],0))</f>
        <v>9207.6</v>
      </c>
      <c r="E31" s="144">
        <f>INDEX(tblMatières[Nb reportings],MATCH($B31,tblMatières[Material],0))</f>
        <v>181</v>
      </c>
      <c r="F31" s="302">
        <f t="shared" si="6"/>
        <v>242948.58672800768</v>
      </c>
      <c r="G31" s="630">
        <f t="shared" si="7"/>
        <v>242948.58672800768</v>
      </c>
      <c r="I31" s="446"/>
    </row>
    <row r="32" spans="1:9">
      <c r="A32" s="38"/>
      <c r="B32" s="37" t="str">
        <f>INDEX(ListeMatières,19)</f>
        <v>Expanded polystyrene food</v>
      </c>
      <c r="C32" s="106">
        <f>INDEX(tblMatières[Specific study],MATCH($B32,tblMatières[Material],0))</f>
        <v>0</v>
      </c>
      <c r="D32" s="48">
        <f>INDEX(tblMatières[Reported quantity (tonnes)],MATCH($B32,tblMatières[Material],0))</f>
        <v>4326.0749999999998</v>
      </c>
      <c r="E32" s="144">
        <f>INDEX(tblMatières[Nb reportings],MATCH($B32,tblMatières[Material],0))</f>
        <v>65</v>
      </c>
      <c r="F32" s="302">
        <f t="shared" si="6"/>
        <v>114146.33643179173</v>
      </c>
      <c r="G32" s="630">
        <f t="shared" si="7"/>
        <v>114146.33643179173</v>
      </c>
      <c r="I32" s="446"/>
    </row>
    <row r="33" spans="1:9">
      <c r="A33" s="265"/>
      <c r="B33" s="37" t="str">
        <f>INDEX(ListeMatières,20)</f>
        <v>Expanded polystyrene protection</v>
      </c>
      <c r="C33" s="106">
        <f>INDEX(tblMatières[Specific study],MATCH($B33,tblMatières[Material],0))</f>
        <v>0</v>
      </c>
      <c r="D33" s="48">
        <f>INDEX(tblMatières[Reported quantity (tonnes)],MATCH($B33,tblMatières[Material],0))</f>
        <v>1850.1969999999999</v>
      </c>
      <c r="E33" s="144">
        <f>INDEX(tblMatières[Nb reportings],MATCH($B33,tblMatières[Material],0))</f>
        <v>117</v>
      </c>
      <c r="F33" s="302">
        <f>D33/D$38 * $E$38/$E$50 * FraisGestionImputés</f>
        <v>48818.665702072147</v>
      </c>
      <c r="G33" s="630">
        <f>C33+F33</f>
        <v>48818.665702072147</v>
      </c>
      <c r="I33" s="446"/>
    </row>
    <row r="34" spans="1:9">
      <c r="A34" s="38"/>
      <c r="B34" s="37" t="str">
        <f>INDEX(ListeMatières,21)</f>
        <v>Non-expanded polystyrene</v>
      </c>
      <c r="C34" s="106">
        <f>INDEX(tblMatières[Specific study],MATCH($B34,tblMatières[Material],0))</f>
        <v>0</v>
      </c>
      <c r="D34" s="48">
        <f>INDEX(tblMatières[Reported quantity (tonnes)],MATCH($B34,tblMatières[Material],0))</f>
        <v>5060.2809999999999</v>
      </c>
      <c r="E34" s="144">
        <f>INDEX(tblMatières[Nb reportings],MATCH($B34,tblMatières[Material],0))</f>
        <v>150</v>
      </c>
      <c r="F34" s="302">
        <f t="shared" si="6"/>
        <v>133518.84501896144</v>
      </c>
      <c r="G34" s="630">
        <f t="shared" si="7"/>
        <v>133518.84501896144</v>
      </c>
      <c r="I34" s="446"/>
    </row>
    <row r="35" spans="1:9">
      <c r="A35" s="38"/>
      <c r="B35" s="37" t="str">
        <f>INDEX(ListeMatières,22)</f>
        <v>PET containers</v>
      </c>
      <c r="C35" s="106">
        <f>INDEX(tblMatières[Specific study],MATCH($B35,tblMatières[Material],0))</f>
        <v>0</v>
      </c>
      <c r="D35" s="48">
        <f>INDEX(tblMatières[Reported quantity (tonnes)],MATCH($B35,tblMatières[Material],0))</f>
        <v>7067.826</v>
      </c>
      <c r="E35" s="144">
        <f>INDEX(tblMatières[Nb reportings],MATCH($B35,tblMatières[Material],0))</f>
        <v>110</v>
      </c>
      <c r="F35" s="302">
        <f t="shared" si="6"/>
        <v>186489.24127236928</v>
      </c>
      <c r="G35" s="630">
        <f t="shared" si="7"/>
        <v>186489.24127236928</v>
      </c>
      <c r="I35" s="446"/>
    </row>
    <row r="36" spans="1:9">
      <c r="A36" s="38"/>
      <c r="B36" s="37" t="str">
        <f>INDEX(ListeMatières,23)</f>
        <v>Polylactic acid (PLA) and other degradable plastics</v>
      </c>
      <c r="C36" s="106">
        <f>INDEX(tblMatières[Specific study],MATCH($B36,tblMatières[Material],0))</f>
        <v>0</v>
      </c>
      <c r="D36" s="48">
        <f>INDEX(tblMatières[Reported quantity (tonnes)],MATCH($B36,tblMatières[Material],0))</f>
        <v>88.733999999999995</v>
      </c>
      <c r="E36" s="144">
        <f>INDEX(tblMatières[Nb reportings],MATCH($B36,tblMatières[Material],0))</f>
        <v>39</v>
      </c>
      <c r="F36" s="302">
        <f t="shared" si="6"/>
        <v>2341.3049974719825</v>
      </c>
      <c r="G36" s="630">
        <f t="shared" si="7"/>
        <v>2341.3049974719825</v>
      </c>
      <c r="I36" s="446"/>
    </row>
    <row r="37" spans="1:9">
      <c r="A37" s="38"/>
      <c r="B37" s="37" t="str">
        <f>INDEX(ListeMatières,24)</f>
        <v>Other plastics, polymers and polyurethane</v>
      </c>
      <c r="C37" s="106">
        <f>INDEX(tblMatières[Specific study],MATCH($B37,tblMatières[Material],0))</f>
        <v>0</v>
      </c>
      <c r="D37" s="48">
        <f>INDEX(tblMatières[Reported quantity (tonnes)],MATCH($B37,tblMatières[Material],0))</f>
        <v>33319.733</v>
      </c>
      <c r="E37" s="144">
        <f>INDEX(tblMatières[Nb reportings],MATCH($B37,tblMatières[Material],0))</f>
        <v>534</v>
      </c>
      <c r="F37" s="302">
        <f t="shared" si="6"/>
        <v>879163.08728708443</v>
      </c>
      <c r="G37" s="630">
        <f t="shared" si="7"/>
        <v>879163.08728708443</v>
      </c>
      <c r="I37" s="446"/>
    </row>
    <row r="38" spans="1:9">
      <c r="A38" s="43" t="str">
        <f>'Executive Summary'!A37</f>
        <v>TOTAL - Plastic</v>
      </c>
      <c r="B38" s="10"/>
      <c r="C38" s="114">
        <f>SUBTOTAL(9,C27:C37)</f>
        <v>0</v>
      </c>
      <c r="D38" s="22">
        <f t="shared" ref="D38:G38" si="8">SUBTOTAL(9,D27:D37)</f>
        <v>134691.93799999999</v>
      </c>
      <c r="E38" s="61">
        <f t="shared" si="8"/>
        <v>2476</v>
      </c>
      <c r="F38" s="305">
        <f t="shared" si="8"/>
        <v>3553935.442542728</v>
      </c>
      <c r="G38" s="305">
        <f t="shared" si="8"/>
        <v>3553935.442542728</v>
      </c>
      <c r="I38" s="446"/>
    </row>
    <row r="39" spans="1:9">
      <c r="A39" s="46" t="str">
        <f>'Executive Summary'!A38</f>
        <v>Aluminium</v>
      </c>
      <c r="B39" s="37" t="str">
        <f>INDEX(ListeMatières,25)</f>
        <v>Aluminium containers for food and beverages</v>
      </c>
      <c r="C39" s="106">
        <f>INDEX(tblMatières[Specific study],MATCH($B39,tblMatières[Material],0))</f>
        <v>0</v>
      </c>
      <c r="D39" s="144">
        <f>INDEX(tblMatières[Reported quantity (tonnes)],MATCH($B39,tblMatières[Material],0))</f>
        <v>2927.57</v>
      </c>
      <c r="E39" s="58">
        <f>INDEX(tblMatières[Nb reportings],MATCH($B39,tblMatières[Material],0))</f>
        <v>89</v>
      </c>
      <c r="F39" s="302">
        <f>D39/($D$44+$D$41) * ($E$44+$E$41)/$E$50 * FraisGestionImputés</f>
        <v>78932.062017270073</v>
      </c>
      <c r="G39" s="630">
        <f>C39+F39</f>
        <v>78932.062017270073</v>
      </c>
      <c r="I39" s="446"/>
    </row>
    <row r="40" spans="1:9">
      <c r="A40" s="46"/>
      <c r="B40" s="37" t="str">
        <f>INDEX(ListeMatières,26)</f>
        <v>Other aluminium containers and packaging</v>
      </c>
      <c r="C40" s="106">
        <f>INDEX(tblMatières[Specific study],MATCH($B40,tblMatières[Material],0))</f>
        <v>0</v>
      </c>
      <c r="D40" s="144">
        <f>INDEX(tblMatières[Reported quantity (tonnes)],MATCH($B40,tblMatières[Material],0))</f>
        <v>2080.9479999999999</v>
      </c>
      <c r="E40" s="58">
        <f>INDEX(tblMatières[Nb reportings],MATCH($B40,tblMatières[Material],0))</f>
        <v>228</v>
      </c>
      <c r="F40" s="302">
        <f>D40/($D$44+$D$41) * ($E$44+$E$41)/$E$50 * FraisGestionImputés</f>
        <v>56105.752071073999</v>
      </c>
      <c r="G40" s="630">
        <f>C40+F40</f>
        <v>56105.752071073999</v>
      </c>
      <c r="I40" s="446"/>
    </row>
    <row r="41" spans="1:9">
      <c r="A41" s="43" t="str">
        <f>'Executive Summary'!A40</f>
        <v>TOTAL - Aluminium</v>
      </c>
      <c r="B41" s="10"/>
      <c r="C41" s="112">
        <f>SUBTOTAL(9,C39:C40)</f>
        <v>0</v>
      </c>
      <c r="D41" s="22">
        <f t="shared" ref="D41:G41" si="9">SUBTOTAL(9,D39:D40)</f>
        <v>5008.518</v>
      </c>
      <c r="E41" s="60">
        <f t="shared" si="9"/>
        <v>317</v>
      </c>
      <c r="F41" s="339">
        <f t="shared" si="9"/>
        <v>135037.81408834408</v>
      </c>
      <c r="G41" s="339">
        <f t="shared" si="9"/>
        <v>135037.81408834408</v>
      </c>
      <c r="I41" s="446"/>
    </row>
    <row r="42" spans="1:9">
      <c r="A42" s="46" t="str">
        <f>'Executive Summary'!A41</f>
        <v>Steel</v>
      </c>
      <c r="B42" s="37" t="str">
        <f>INDEX(ListeMatières,27)</f>
        <v>Steel aerosol containers</v>
      </c>
      <c r="C42" s="106">
        <f>INDEX(tblMatières[Specific study],MATCH($B42,tblMatières[Material],0))</f>
        <v>0</v>
      </c>
      <c r="D42" s="144">
        <f>INDEX(tblMatières[Reported quantity (tonnes)],MATCH($B42,tblMatières[Material],0))</f>
        <v>1674.4069999999999</v>
      </c>
      <c r="E42" s="58">
        <f>INDEX(tblMatières[Nb reportings],MATCH($B42,tblMatières[Material],0))</f>
        <v>104</v>
      </c>
      <c r="F42" s="302">
        <f>D42/($D$44+$D$41) * ($E$44+$E$41)/$E$50 * FraisGestionImputés</f>
        <v>45144.743649562988</v>
      </c>
      <c r="G42" s="630">
        <f>C42+F42</f>
        <v>45144.743649562988</v>
      </c>
      <c r="I42" s="446"/>
    </row>
    <row r="43" spans="1:9">
      <c r="A43" s="46"/>
      <c r="B43" s="37" t="str">
        <f>INDEX(ListeMatières,28)</f>
        <v>Other steel containers</v>
      </c>
      <c r="C43" s="106">
        <f>INDEX(tblMatières[Specific study],MATCH($B43,tblMatières[Material],0))</f>
        <v>0</v>
      </c>
      <c r="D43" s="144">
        <f>INDEX(tblMatières[Reported quantity (tonnes)],MATCH($B43,tblMatières[Material],0))</f>
        <v>26909.557000000001</v>
      </c>
      <c r="E43" s="58">
        <f>INDEX(tblMatières[Nb reportings],MATCH($B43,tblMatières[Material],0))</f>
        <v>210</v>
      </c>
      <c r="F43" s="302">
        <f>D43/($D$44+$D$41) * ($E$44+$E$41)/$E$50 * FraisGestionImputés</f>
        <v>725525.54575339414</v>
      </c>
      <c r="G43" s="630">
        <f>C43+F43</f>
        <v>725525.54575339414</v>
      </c>
      <c r="I43" s="446"/>
    </row>
    <row r="44" spans="1:9">
      <c r="A44" s="43" t="str">
        <f>'Executive Summary'!A43</f>
        <v>TOTAL - Steel</v>
      </c>
      <c r="B44" s="10"/>
      <c r="C44" s="112">
        <f t="shared" ref="C44:G44" si="10">SUBTOTAL(9,C42:C43)</f>
        <v>0</v>
      </c>
      <c r="D44" s="22">
        <f t="shared" si="10"/>
        <v>28583.964</v>
      </c>
      <c r="E44" s="60">
        <f t="shared" si="10"/>
        <v>314</v>
      </c>
      <c r="F44" s="339">
        <f t="shared" si="10"/>
        <v>770670.28940295707</v>
      </c>
      <c r="G44" s="339">
        <f t="shared" si="10"/>
        <v>770670.28940295707</v>
      </c>
      <c r="I44" s="446"/>
    </row>
    <row r="45" spans="1:9">
      <c r="A45" s="46" t="str">
        <f>'Executive Summary'!A44</f>
        <v>Glass</v>
      </c>
      <c r="B45" s="37" t="str">
        <f>INDEX(ListeMatières,29)</f>
        <v>Clear glass</v>
      </c>
      <c r="C45" s="106">
        <f>INDEX(tblMatières[Specific study],MATCH($B45,tblMatières[Material],0))</f>
        <v>0</v>
      </c>
      <c r="D45" s="144">
        <f>INDEX(tblMatières[Reported quantity (tonnes)],MATCH($B45,tblMatières[Material],0))</f>
        <v>54262.898999999998</v>
      </c>
      <c r="E45" s="58">
        <f>INDEX(tblMatières[Nb reportings],MATCH($B45,tblMatières[Material],0))</f>
        <v>199</v>
      </c>
      <c r="F45" s="302">
        <f>D45/D$47 * $E$47/$E$50 * FraisGestionImputés</f>
        <v>182909.55771246707</v>
      </c>
      <c r="G45" s="630">
        <f>C45+F45</f>
        <v>182909.55771246707</v>
      </c>
      <c r="I45" s="446"/>
    </row>
    <row r="46" spans="1:9">
      <c r="A46" s="46"/>
      <c r="B46" s="242" t="str">
        <f>INDEX(ListeMatières,30)</f>
        <v>Coloured glass</v>
      </c>
      <c r="C46" s="106">
        <f>INDEX(tblMatières[Specific study],MATCH($B46,tblMatières[Material],0))</f>
        <v>0</v>
      </c>
      <c r="D46" s="144">
        <f>INDEX(tblMatières[Reported quantity (tonnes)],MATCH($B46,tblMatières[Material],0))</f>
        <v>82425.142000000007</v>
      </c>
      <c r="E46" s="58">
        <f>INDEX(tblMatières[Nb reportings],MATCH($B46,tblMatières[Material],0))</f>
        <v>122</v>
      </c>
      <c r="F46" s="302">
        <f>D46/D$47 * $E$47/$E$50 * FraisGestionImputés</f>
        <v>277838.9386753423</v>
      </c>
      <c r="G46" s="630">
        <f>C46+F46</f>
        <v>277838.9386753423</v>
      </c>
      <c r="I46" s="446"/>
    </row>
    <row r="47" spans="1:9">
      <c r="A47" s="43" t="str">
        <f>'Executive Summary'!A46</f>
        <v>TOTAL - Glass</v>
      </c>
      <c r="B47" s="10"/>
      <c r="C47" s="112">
        <f t="shared" ref="C47:G47" si="11">SUBTOTAL(9,C45:C46)</f>
        <v>0</v>
      </c>
      <c r="D47" s="22">
        <f t="shared" si="11"/>
        <v>136688.041</v>
      </c>
      <c r="E47" s="60">
        <f t="shared" si="11"/>
        <v>321</v>
      </c>
      <c r="F47" s="305">
        <f t="shared" si="11"/>
        <v>460748.4963878094</v>
      </c>
      <c r="G47" s="305">
        <f t="shared" si="11"/>
        <v>460748.4963878094</v>
      </c>
      <c r="I47" s="446"/>
    </row>
    <row r="48" spans="1:9" ht="15.75" thickBot="1">
      <c r="A48" s="56" t="str">
        <f>'Executive Summary'!A47</f>
        <v>TOTAL - CONTAINERS AND PACKAGING</v>
      </c>
      <c r="B48" s="23"/>
      <c r="C48" s="115">
        <f>SUBTOTAL(9,C19:C47)</f>
        <v>0</v>
      </c>
      <c r="D48" s="21">
        <f t="shared" ref="D48:G48" si="12">SUBTOTAL(9,D19:D47)</f>
        <v>483750.19400000002</v>
      </c>
      <c r="E48" s="290">
        <f t="shared" si="12"/>
        <v>4989</v>
      </c>
      <c r="F48" s="306">
        <f t="shared" si="12"/>
        <v>7160978.9672236172</v>
      </c>
      <c r="G48" s="306">
        <f t="shared" si="12"/>
        <v>7160978.9672236172</v>
      </c>
      <c r="I48" s="446"/>
    </row>
    <row r="49" spans="1:7" ht="8.25" customHeight="1">
      <c r="A49" s="38"/>
      <c r="B49" s="35"/>
      <c r="C49" s="116"/>
      <c r="D49" s="144"/>
      <c r="E49" s="37"/>
      <c r="F49" s="302"/>
      <c r="G49" s="302"/>
    </row>
    <row r="50" spans="1:7" ht="15.75" thickBot="1">
      <c r="A50" s="57" t="str">
        <f>'Executive Summary'!A49</f>
        <v>TOTAL</v>
      </c>
      <c r="B50" s="14"/>
      <c r="C50" s="241">
        <f>SUBTOTAL(9,C10:C48)</f>
        <v>0</v>
      </c>
      <c r="D50" s="220">
        <f t="shared" ref="D50:G50" si="13">SUBTOTAL(9,D10:D48)</f>
        <v>644994.44999999995</v>
      </c>
      <c r="E50" s="62">
        <f t="shared" si="13"/>
        <v>5991</v>
      </c>
      <c r="F50" s="308">
        <f t="shared" si="13"/>
        <v>8599203.2456678078</v>
      </c>
      <c r="G50" s="308">
        <f t="shared" si="13"/>
        <v>8599203.2456678078</v>
      </c>
    </row>
    <row r="51" spans="1:7" ht="15.75" thickTop="1"/>
  </sheetData>
  <sheetProtection password="82A0" sheet="1" objects="1" scenarios="1"/>
  <mergeCells count="1">
    <mergeCell ref="C6:G6"/>
  </mergeCells>
  <pageMargins left="0.7" right="0.7" top="0.75" bottom="0.75" header="0.3" footer="0.3"/>
  <pageSetup scale="52" fitToHeight="0" orientation="landscape" r:id="rId1"/>
  <ignoredErrors>
    <ignoredError sqref="C34:G37 C27:G32 C39:G40 C42:G43"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1"/>
  <sheetViews>
    <sheetView showGridLines="0" zoomScale="80" zoomScaleNormal="80" zoomScaleSheetLayoutView="80" workbookViewId="0">
      <pane xSplit="2" ySplit="7" topLeftCell="C8" activePane="bottomRight" state="frozen"/>
      <selection pane="topRight" activeCell="C1" sqref="C1"/>
      <selection pane="bottomLeft" activeCell="A8" sqref="A8"/>
      <selection pane="bottomRight" activeCell="C7" sqref="C7:L7"/>
    </sheetView>
  </sheetViews>
  <sheetFormatPr baseColWidth="10" defaultColWidth="13.42578125" defaultRowHeight="15"/>
  <cols>
    <col min="1" max="1" width="26.5703125" customWidth="1"/>
    <col min="2" max="2" width="74.7109375" customWidth="1"/>
    <col min="3" max="3" width="16.5703125" bestFit="1" customWidth="1"/>
    <col min="4" max="5" width="19" customWidth="1"/>
    <col min="6" max="6" width="17.42578125" customWidth="1"/>
    <col min="7" max="7" width="17.42578125" bestFit="1" customWidth="1"/>
    <col min="8" max="8" width="19.140625" customWidth="1"/>
    <col min="9" max="9" width="16.42578125" customWidth="1"/>
    <col min="10" max="10" width="17.42578125" customWidth="1"/>
    <col min="12" max="12" width="18.42578125" customWidth="1"/>
  </cols>
  <sheetData>
    <row r="1" spans="1:12" s="159" customFormat="1" ht="15.75" thickBot="1">
      <c r="A1" s="4" t="s">
        <v>101</v>
      </c>
      <c r="B1" s="36"/>
    </row>
    <row r="2" spans="1:12" ht="6.75" customHeight="1" thickBot="1"/>
    <row r="3" spans="1:12" ht="18.75" thickBot="1">
      <c r="A3" s="93" t="str">
        <f>Parameters!B4</f>
        <v>Schedule</v>
      </c>
      <c r="B3" s="245">
        <f>AnnéeTarif</f>
        <v>2015</v>
      </c>
    </row>
    <row r="4" spans="1:12" ht="18.75" thickBot="1">
      <c r="A4" s="93" t="str">
        <f>Parameters!B5</f>
        <v>Scenario</v>
      </c>
      <c r="B4" s="245" t="str">
        <f>Parameters!C5</f>
        <v>Final July 2016</v>
      </c>
    </row>
    <row r="5" spans="1:12" ht="18.75" thickBot="1">
      <c r="A5" s="93" t="str">
        <f>Parameters!B6</f>
        <v>Reference Year</v>
      </c>
      <c r="B5" s="94">
        <f>AnnéeRéf</f>
        <v>2014</v>
      </c>
    </row>
    <row r="6" spans="1:12" ht="17.25" customHeight="1" thickBot="1">
      <c r="C6" s="660" t="str">
        <f>A1</f>
        <v>Fees hike cap</v>
      </c>
      <c r="D6" s="661"/>
      <c r="E6" s="661"/>
      <c r="F6" s="661"/>
      <c r="G6" s="661"/>
      <c r="H6" s="661"/>
      <c r="I6" s="661"/>
      <c r="J6" s="661"/>
      <c r="K6" s="661"/>
      <c r="L6" s="662"/>
    </row>
    <row r="7" spans="1:12" ht="45">
      <c r="A7" s="42" t="str">
        <f>'Executive Summary'!A7</f>
        <v>CLASS</v>
      </c>
      <c r="B7" s="9" t="str">
        <f>'Executive Summary'!B7</f>
        <v>Material</v>
      </c>
      <c r="C7" s="570" t="s">
        <v>154</v>
      </c>
      <c r="D7" s="571" t="s">
        <v>155</v>
      </c>
      <c r="E7" s="571" t="s">
        <v>180</v>
      </c>
      <c r="F7" s="571" t="s">
        <v>181</v>
      </c>
      <c r="G7" s="571" t="s">
        <v>9</v>
      </c>
      <c r="H7" s="571" t="s">
        <v>182</v>
      </c>
      <c r="I7" s="571" t="s">
        <v>183</v>
      </c>
      <c r="J7" s="571" t="s">
        <v>184</v>
      </c>
      <c r="K7" s="571" t="s">
        <v>185</v>
      </c>
      <c r="L7" s="571" t="s">
        <v>186</v>
      </c>
    </row>
    <row r="8" spans="1:12">
      <c r="A8" s="70"/>
      <c r="B8" s="72"/>
      <c r="C8" s="70"/>
      <c r="D8" s="71"/>
      <c r="E8" s="71"/>
      <c r="F8" s="71"/>
      <c r="G8" s="71"/>
      <c r="H8" s="71"/>
      <c r="I8" s="71"/>
      <c r="J8" s="71"/>
      <c r="K8" s="71"/>
      <c r="L8" s="71"/>
    </row>
    <row r="9" spans="1:12">
      <c r="A9" s="43" t="str">
        <f>'Executive Summary'!A8</f>
        <v>PRINTED MATTER</v>
      </c>
      <c r="B9" s="11"/>
      <c r="C9" s="110"/>
      <c r="D9" s="111"/>
      <c r="E9" s="111"/>
      <c r="F9" s="11"/>
      <c r="G9" s="111"/>
      <c r="H9" s="111"/>
      <c r="I9" s="111"/>
      <c r="J9" s="111"/>
      <c r="K9" s="111"/>
      <c r="L9" s="111"/>
    </row>
    <row r="10" spans="1:12">
      <c r="A10" s="265"/>
      <c r="B10" s="37" t="str">
        <f>INDEX(ListeMatières,1)</f>
        <v>Newsprint inserts and circulars</v>
      </c>
      <c r="C10" s="163">
        <f>INDEX(tblMatières[Previous reported quantity],MATCH($B10,tblMatières[Material],0))</f>
        <v>96111.831999999995</v>
      </c>
      <c r="D10" s="576">
        <f>INDEX(tblMatières[Previous fee],MATCH($B10,tblMatières[Material],0))</f>
        <v>151.00551908644385</v>
      </c>
      <c r="E10" s="176">
        <f>INDEX(tblMatières[Reported quantity (tonnes)],MATCH($B10,tblMatières[Material],0))</f>
        <v>100503.348</v>
      </c>
      <c r="F10" s="576">
        <f>SUM(Fees!H11:K11)/Fees!G11</f>
        <v>158.03778192611469</v>
      </c>
      <c r="G10" s="577">
        <f>F10/D10-1</f>
        <v>4.6569574954708592E-2</v>
      </c>
      <c r="H10" s="302">
        <f t="shared" ref="H10:H15" si="0">D10*(1+LimiteHausse)</f>
        <v>226.50827862966577</v>
      </c>
      <c r="I10" s="621">
        <f>MAX((F10-H10)*E10,0)</f>
        <v>0</v>
      </c>
      <c r="J10" s="487">
        <f>MIN((F10-H10)*E10,0)</f>
        <v>-6881514.157929847</v>
      </c>
      <c r="K10" s="577">
        <f>J10/$J$16</f>
        <v>0.5104696726586696</v>
      </c>
      <c r="L10" s="628">
        <f>K10*$I$16 - I10</f>
        <v>0</v>
      </c>
    </row>
    <row r="11" spans="1:12">
      <c r="A11" s="265"/>
      <c r="B11" s="37" t="str">
        <f>INDEX(ListeMatières,2)</f>
        <v>Catalogues and publications</v>
      </c>
      <c r="C11" s="163">
        <f>INDEX(tblMatières[Previous reported quantity],MATCH($B11,tblMatières[Material],0))</f>
        <v>17711.88</v>
      </c>
      <c r="D11" s="576">
        <f>INDEX(tblMatières[Previous fee],MATCH($B11,tblMatières[Material],0))</f>
        <v>225.34444049370481</v>
      </c>
      <c r="E11" s="176">
        <f>INDEX(tblMatières[Reported quantity (tonnes)],MATCH($B11,tblMatières[Material],0))</f>
        <v>16909.731</v>
      </c>
      <c r="F11" s="576">
        <f>SUM(Fees!$H$12:$K$16)/SUM(Fees!$G$12:$G$16)</f>
        <v>229.37100016378258</v>
      </c>
      <c r="G11" s="577">
        <f t="shared" ref="G11:G15" si="1">F11/D11-1</f>
        <v>1.7868466873449451E-2</v>
      </c>
      <c r="H11" s="302">
        <f t="shared" si="0"/>
        <v>338.0166607405572</v>
      </c>
      <c r="I11" s="586">
        <f t="shared" ref="I11:I15" si="2">MAX((F11-H11)*E11,0)</f>
        <v>0</v>
      </c>
      <c r="J11" s="487">
        <f t="shared" ref="J11:J15" si="3">MIN((F11-H11)*E11,0)</f>
        <v>-1837168.8946705635</v>
      </c>
      <c r="K11" s="577">
        <f t="shared" ref="K11:K15" si="4">J11/$J$16</f>
        <v>0.13628090893346279</v>
      </c>
      <c r="L11" s="628">
        <f t="shared" ref="L11:L15" si="5">K11*$I$16 - I11</f>
        <v>0</v>
      </c>
    </row>
    <row r="12" spans="1:12">
      <c r="A12" s="265"/>
      <c r="B12" s="37" t="str">
        <f>INDEX(ListeMatières,3)</f>
        <v>Magazines</v>
      </c>
      <c r="C12" s="163">
        <f>INDEX(tblMatières[Previous reported quantity],MATCH($B12,tblMatières[Material],0))</f>
        <v>15070.365</v>
      </c>
      <c r="D12" s="576">
        <f>INDEX(tblMatières[Previous fee],MATCH($B12,tblMatières[Material],0))</f>
        <v>225.34444049370481</v>
      </c>
      <c r="E12" s="176">
        <f>INDEX(tblMatières[Reported quantity (tonnes)],MATCH($B12,tblMatières[Material],0))</f>
        <v>10816.571</v>
      </c>
      <c r="F12" s="576">
        <f>SUM(Fees!$H$12:$K$16)/SUM(Fees!$G$12:$G$16)</f>
        <v>229.37100016378258</v>
      </c>
      <c r="G12" s="577">
        <f t="shared" si="1"/>
        <v>1.7868466873449451E-2</v>
      </c>
      <c r="H12" s="302">
        <f t="shared" si="0"/>
        <v>338.0166607405572</v>
      </c>
      <c r="I12" s="586">
        <f t="shared" si="2"/>
        <v>0</v>
      </c>
      <c r="J12" s="487">
        <f t="shared" si="3"/>
        <v>-1175173.5014705835</v>
      </c>
      <c r="K12" s="577">
        <f t="shared" si="4"/>
        <v>8.7174191441799664E-2</v>
      </c>
      <c r="L12" s="628">
        <f t="shared" si="5"/>
        <v>0</v>
      </c>
    </row>
    <row r="13" spans="1:12">
      <c r="A13" s="265"/>
      <c r="B13" s="37" t="str">
        <f>INDEX(ListeMatières,4)</f>
        <v>Telephone books</v>
      </c>
      <c r="C13" s="163">
        <f>INDEX(tblMatières[Previous reported quantity],MATCH($B13,tblMatières[Material],0))</f>
        <v>5509.0780000000004</v>
      </c>
      <c r="D13" s="576">
        <f>INDEX(tblMatières[Previous fee],MATCH($B13,tblMatières[Material],0))</f>
        <v>225.34444049370481</v>
      </c>
      <c r="E13" s="176">
        <f>INDEX(tblMatières[Reported quantity (tonnes)],MATCH($B13,tblMatières[Material],0))</f>
        <v>1956.9110000000001</v>
      </c>
      <c r="F13" s="576">
        <f>SUM(Fees!$H$12:$K$16)/SUM(Fees!$G$12:$G$16)</f>
        <v>229.37100016378258</v>
      </c>
      <c r="G13" s="577">
        <f t="shared" si="1"/>
        <v>1.7868466873449451E-2</v>
      </c>
      <c r="H13" s="302">
        <f t="shared" si="0"/>
        <v>338.0166607405572</v>
      </c>
      <c r="I13" s="586">
        <f t="shared" si="2"/>
        <v>0</v>
      </c>
      <c r="J13" s="487">
        <f t="shared" si="3"/>
        <v>-212609.8882849566</v>
      </c>
      <c r="K13" s="577">
        <f t="shared" si="4"/>
        <v>1.5771369147261516E-2</v>
      </c>
      <c r="L13" s="628">
        <f t="shared" si="5"/>
        <v>0</v>
      </c>
    </row>
    <row r="14" spans="1:12">
      <c r="A14" s="265"/>
      <c r="B14" s="37" t="str">
        <f>INDEX(ListeMatières,5)</f>
        <v>Paper for general use</v>
      </c>
      <c r="C14" s="163">
        <f>INDEX(tblMatières[Previous reported quantity],MATCH($B14,tblMatières[Material],0))</f>
        <v>8801.3819999999996</v>
      </c>
      <c r="D14" s="576">
        <f>INDEX(tblMatières[Previous fee],MATCH($B14,tblMatières[Material],0))</f>
        <v>225.34444049370481</v>
      </c>
      <c r="E14" s="176">
        <f>INDEX(tblMatières[Reported quantity (tonnes)],MATCH($B14,tblMatières[Material],0))</f>
        <v>4514.6930000000002</v>
      </c>
      <c r="F14" s="576">
        <f>SUM(Fees!$H$12:$K$16)/SUM(Fees!$G$12:$G$16)</f>
        <v>229.37100016378258</v>
      </c>
      <c r="G14" s="577">
        <f t="shared" si="1"/>
        <v>1.7868466873449451E-2</v>
      </c>
      <c r="H14" s="302">
        <f t="shared" si="0"/>
        <v>338.0166607405572</v>
      </c>
      <c r="I14" s="586">
        <f t="shared" si="2"/>
        <v>0</v>
      </c>
      <c r="J14" s="487">
        <f t="shared" si="3"/>
        <v>-490501.80328634032</v>
      </c>
      <c r="K14" s="577">
        <f t="shared" si="4"/>
        <v>3.6385349098429887E-2</v>
      </c>
      <c r="L14" s="628">
        <f t="shared" si="5"/>
        <v>0</v>
      </c>
    </row>
    <row r="15" spans="1:12">
      <c r="A15" s="265"/>
      <c r="B15" s="37" t="str">
        <f>INDEX(ListeMatières,6)</f>
        <v>Other printed matter</v>
      </c>
      <c r="C15" s="163">
        <f>INDEX(tblMatières[Previous reported quantity],MATCH($B15,tblMatières[Material],0))</f>
        <v>28465.941999999999</v>
      </c>
      <c r="D15" s="576">
        <f>INDEX(tblMatières[Previous fee],MATCH($B15,tblMatières[Material],0))</f>
        <v>225.34444049370481</v>
      </c>
      <c r="E15" s="176">
        <f>INDEX(tblMatières[Reported quantity (tonnes)],MATCH($B15,tblMatières[Material],0))</f>
        <v>26543.002</v>
      </c>
      <c r="F15" s="576">
        <f>SUM(Fees!$H$12:$K$16)/SUM(Fees!$G$12:$G$16)</f>
        <v>229.37100016378258</v>
      </c>
      <c r="G15" s="577">
        <f t="shared" si="1"/>
        <v>1.7868466873449451E-2</v>
      </c>
      <c r="H15" s="302">
        <f t="shared" si="0"/>
        <v>338.0166607405572</v>
      </c>
      <c r="I15" s="586">
        <f t="shared" si="2"/>
        <v>0</v>
      </c>
      <c r="J15" s="487">
        <f t="shared" si="3"/>
        <v>-2883781.9859806499</v>
      </c>
      <c r="K15" s="577">
        <f t="shared" si="4"/>
        <v>0.21391850872037652</v>
      </c>
      <c r="L15" s="628">
        <f t="shared" si="5"/>
        <v>0</v>
      </c>
    </row>
    <row r="16" spans="1:12" ht="15.75" thickBot="1">
      <c r="A16" s="55" t="str">
        <f>'Executive Summary'!A15</f>
        <v>TOTAL - PRINTED MATTER</v>
      </c>
      <c r="B16" s="20"/>
      <c r="C16" s="21">
        <f>SUBTOTAL(9,C10:C15)</f>
        <v>171670.47900000002</v>
      </c>
      <c r="D16" s="21"/>
      <c r="E16" s="21">
        <f>SUBTOTAL(9,E10:E15)</f>
        <v>161244.25599999999</v>
      </c>
      <c r="F16" s="21"/>
      <c r="G16" s="304"/>
      <c r="H16" s="304"/>
      <c r="I16" s="622">
        <f>SUBTOTAL(9,I10:I15)</f>
        <v>0</v>
      </c>
      <c r="J16" s="581">
        <f>SUBTOTAL(9,J10:J15)</f>
        <v>-13480750.231622942</v>
      </c>
      <c r="K16" s="463">
        <f>SUBTOTAL(9,K10:K15)</f>
        <v>1</v>
      </c>
      <c r="L16" s="581">
        <f>SUBTOTAL(9,L10:L15)</f>
        <v>0</v>
      </c>
    </row>
    <row r="17" spans="1:12">
      <c r="A17" s="265"/>
      <c r="B17" s="35"/>
      <c r="C17" s="106"/>
      <c r="D17" s="144"/>
      <c r="E17" s="144"/>
      <c r="F17" s="37"/>
      <c r="G17" s="302"/>
      <c r="H17" s="302"/>
      <c r="I17" s="302"/>
      <c r="J17" s="302"/>
      <c r="K17" s="302"/>
      <c r="L17" s="302"/>
    </row>
    <row r="18" spans="1:12">
      <c r="A18" s="43" t="str">
        <f>'Executive Summary'!A17</f>
        <v>CONTAINERS AND PACKAGING</v>
      </c>
      <c r="B18" s="11"/>
      <c r="C18" s="110"/>
      <c r="D18" s="219"/>
      <c r="E18" s="219"/>
      <c r="F18" s="11"/>
      <c r="G18" s="309"/>
      <c r="H18" s="309"/>
      <c r="I18" s="309"/>
      <c r="J18" s="309"/>
      <c r="K18" s="309"/>
      <c r="L18" s="309"/>
    </row>
    <row r="19" spans="1:12">
      <c r="A19" s="46" t="str">
        <f>'Executive Summary'!A18</f>
        <v>Paperboard</v>
      </c>
      <c r="B19" s="37" t="str">
        <f>INDEX(ListeMatières,7)</f>
        <v>Corrugated cardboard</v>
      </c>
      <c r="C19" s="163">
        <f>INDEX(tblMatières[Previous reported quantity],MATCH($B19,tblMatières[Material],0))</f>
        <v>62730.654000000002</v>
      </c>
      <c r="D19" s="576">
        <f>INDEX(tblMatières[Previous fee],MATCH($B19,tblMatières[Material],0))</f>
        <v>264.70245040515516</v>
      </c>
      <c r="E19" s="176">
        <f>INDEX(tblMatières[Reported quantity (tonnes)],MATCH($B19,tblMatières[Material],0))</f>
        <v>57170.796000000002</v>
      </c>
      <c r="F19" s="576">
        <f>SUM(Fees!$H$20:$K$22)/SUM(Fees!$G$20:$G$22)</f>
        <v>179.32698727466143</v>
      </c>
      <c r="G19" s="577">
        <f t="shared" ref="G19:G25" si="6">F19/D19-1</f>
        <v>-0.32253370907529388</v>
      </c>
      <c r="H19" s="302">
        <f t="shared" ref="H19:H25" si="7">D19*(1+LimiteHausse)</f>
        <v>397.05367560773277</v>
      </c>
      <c r="I19" s="621">
        <f t="shared" ref="I19:I25" si="8">MAX((F19-H19)*E19,0)</f>
        <v>0</v>
      </c>
      <c r="J19" s="487">
        <f t="shared" ref="J19:J25" si="9">MIN((F19-H19)*E19,0)</f>
        <v>-12447608.082445601</v>
      </c>
      <c r="K19" s="577">
        <f>J19/$J$48</f>
        <v>0.25681154360290986</v>
      </c>
      <c r="L19" s="628">
        <f>K19*$I$48-I19</f>
        <v>1223827.8496678958</v>
      </c>
    </row>
    <row r="20" spans="1:12">
      <c r="A20" s="46"/>
      <c r="B20" s="37" t="str">
        <f>INDEX(ListeMatières,8)</f>
        <v>Kraft paper shopping bags</v>
      </c>
      <c r="C20" s="163">
        <f>INDEX(tblMatières[Previous reported quantity],MATCH($B20,tblMatières[Material],0))</f>
        <v>2222.7310000000002</v>
      </c>
      <c r="D20" s="576">
        <f>INDEX(tblMatières[Previous fee],MATCH($B20,tblMatières[Material],0))</f>
        <v>264.70245040515516</v>
      </c>
      <c r="E20" s="176">
        <f>INDEX(tblMatières[Reported quantity (tonnes)],MATCH($B20,tblMatières[Material],0))</f>
        <v>2779.5329999999999</v>
      </c>
      <c r="F20" s="576">
        <f>SUM(Fees!$H$20:$K$22)/SUM(Fees!$G$20:$G$22)</f>
        <v>179.32698727466143</v>
      </c>
      <c r="G20" s="577">
        <f t="shared" si="6"/>
        <v>-0.32253370907529388</v>
      </c>
      <c r="H20" s="302">
        <f t="shared" si="7"/>
        <v>397.05367560773277</v>
      </c>
      <c r="I20" s="586">
        <f t="shared" si="8"/>
        <v>0</v>
      </c>
      <c r="J20" s="487">
        <f t="shared" si="9"/>
        <v>-605178.51520248677</v>
      </c>
      <c r="K20" s="577">
        <f t="shared" ref="K20:K25" si="10">J20/$J$48</f>
        <v>1.2485678181308284E-2</v>
      </c>
      <c r="L20" s="628">
        <f t="shared" ref="L20:L25" si="11">K20*$I$48-I20</f>
        <v>59500.131753823334</v>
      </c>
    </row>
    <row r="21" spans="1:12">
      <c r="A21" s="46"/>
      <c r="B21" s="37" t="str">
        <f>INDEX(ListeMatières,9)</f>
        <v>Kraft paper packaging</v>
      </c>
      <c r="C21" s="163">
        <f>INDEX(tblMatières[Previous reported quantity],MATCH($B21,tblMatières[Material],0))</f>
        <v>152.471</v>
      </c>
      <c r="D21" s="576">
        <f>INDEX(tblMatières[Previous fee],MATCH($B21,tblMatières[Material],0))</f>
        <v>264.70245040515516</v>
      </c>
      <c r="E21" s="176">
        <f>INDEX(tblMatières[Reported quantity (tonnes)],MATCH($B21,tblMatières[Material],0))</f>
        <v>311.67700000000002</v>
      </c>
      <c r="F21" s="576">
        <f>SUM(Fees!$H$20:$K$22)/SUM(Fees!$G$20:$G$22)</f>
        <v>179.32698727466143</v>
      </c>
      <c r="G21" s="577">
        <f t="shared" si="6"/>
        <v>-0.32253370907529388</v>
      </c>
      <c r="H21" s="302">
        <f t="shared" si="7"/>
        <v>397.05367560773277</v>
      </c>
      <c r="I21" s="586">
        <f t="shared" si="8"/>
        <v>0</v>
      </c>
      <c r="J21" s="487">
        <f t="shared" si="9"/>
        <v>-67860.401039586679</v>
      </c>
      <c r="K21" s="577">
        <f t="shared" si="10"/>
        <v>1.400054871993109E-3</v>
      </c>
      <c r="L21" s="628">
        <f t="shared" si="11"/>
        <v>6671.9202702887123</v>
      </c>
    </row>
    <row r="22" spans="1:12">
      <c r="A22" s="46"/>
      <c r="B22" s="37" t="str">
        <f>INDEX(ListeMatières,10)</f>
        <v>Boxboard / Other paper packaging</v>
      </c>
      <c r="C22" s="163">
        <f>INDEX(tblMatières[Previous reported quantity],MATCH($B22,tblMatières[Material],0))</f>
        <v>87603.040999999997</v>
      </c>
      <c r="D22" s="576">
        <f>INDEX(tblMatières[Previous fee],MATCH($B22,tblMatières[Material],0))</f>
        <v>169.37906576029937</v>
      </c>
      <c r="E22" s="176">
        <f>INDEX(tblMatières[Reported quantity (tonnes)],MATCH($B22,tblMatières[Material],0))</f>
        <v>87558.263999999996</v>
      </c>
      <c r="F22" s="576">
        <f>SUM(Fees!H23:K23)/Fees!G23</f>
        <v>193.25848236961593</v>
      </c>
      <c r="G22" s="577">
        <f t="shared" si="6"/>
        <v>0.14098210131298083</v>
      </c>
      <c r="H22" s="302">
        <f t="shared" si="7"/>
        <v>254.06859864044907</v>
      </c>
      <c r="I22" s="586">
        <f t="shared" si="8"/>
        <v>0</v>
      </c>
      <c r="J22" s="487">
        <f t="shared" si="9"/>
        <v>-5324428.2143123029</v>
      </c>
      <c r="K22" s="577">
        <f t="shared" si="10"/>
        <v>0.10985039209651733</v>
      </c>
      <c r="L22" s="628">
        <f t="shared" si="11"/>
        <v>523488.80918113346</v>
      </c>
    </row>
    <row r="23" spans="1:12">
      <c r="A23" s="46"/>
      <c r="B23" s="37" t="str">
        <f>INDEX(ListeMatières,11)</f>
        <v>Gable-top containers</v>
      </c>
      <c r="C23" s="163">
        <f>INDEX(tblMatières[Previous reported quantity],MATCH($B23,tblMatières[Material],0))</f>
        <v>13681.790999999999</v>
      </c>
      <c r="D23" s="576">
        <f>INDEX(tblMatières[Previous fee],MATCH($B23,tblMatières[Material],0))</f>
        <v>162.94905603114032</v>
      </c>
      <c r="E23" s="176">
        <f>INDEX(tblMatières[Reported quantity (tonnes)],MATCH($B23,tblMatières[Material],0))</f>
        <v>12195.59</v>
      </c>
      <c r="F23" s="576">
        <f>SUM(Fees!H24:K24)/Fees!G24</f>
        <v>199.00058137521998</v>
      </c>
      <c r="G23" s="577">
        <f t="shared" si="6"/>
        <v>0.22124414968804751</v>
      </c>
      <c r="H23" s="302">
        <f t="shared" si="7"/>
        <v>244.42358404671046</v>
      </c>
      <c r="I23" s="586">
        <f t="shared" si="8"/>
        <v>0</v>
      </c>
      <c r="J23" s="487">
        <f t="shared" si="9"/>
        <v>-553960.31715040258</v>
      </c>
      <c r="K23" s="577">
        <f t="shared" si="10"/>
        <v>1.1428975205508051E-2</v>
      </c>
      <c r="L23" s="628">
        <f t="shared" si="11"/>
        <v>54464.444835438975</v>
      </c>
    </row>
    <row r="24" spans="1:12">
      <c r="A24" s="46"/>
      <c r="B24" s="37" t="str">
        <f>INDEX(ListeMatières,12)</f>
        <v>Paper laminants</v>
      </c>
      <c r="C24" s="163">
        <f>INDEX(tblMatières[Previous reported quantity],MATCH($B24,tblMatières[Material],0))</f>
        <v>12864.581</v>
      </c>
      <c r="D24" s="576">
        <f>INDEX(tblMatières[Previous fee],MATCH($B24,tblMatières[Material],0))</f>
        <v>181.98646513228991</v>
      </c>
      <c r="E24" s="176">
        <f>INDEX(tblMatières[Reported quantity (tonnes)],MATCH($B24,tblMatières[Material],0))</f>
        <v>12555.716</v>
      </c>
      <c r="F24" s="576">
        <f>SUM(Fees!H25:K25)/Fees!G25</f>
        <v>269.24870824258198</v>
      </c>
      <c r="G24" s="577">
        <f t="shared" si="6"/>
        <v>0.47949853329399672</v>
      </c>
      <c r="H24" s="302">
        <f t="shared" si="7"/>
        <v>272.97969769843485</v>
      </c>
      <c r="I24" s="586">
        <f t="shared" si="8"/>
        <v>0</v>
      </c>
      <c r="J24" s="487">
        <f t="shared" si="9"/>
        <v>-46845.244006683097</v>
      </c>
      <c r="K24" s="577">
        <f t="shared" si="10"/>
        <v>9.6648282498364277E-4</v>
      </c>
      <c r="L24" s="628">
        <f t="shared" si="11"/>
        <v>4605.745446044205</v>
      </c>
    </row>
    <row r="25" spans="1:12">
      <c r="A25" s="46"/>
      <c r="B25" s="37" t="str">
        <f>INDEX(ListeMatières,13)</f>
        <v>Aseptic containers</v>
      </c>
      <c r="C25" s="163">
        <f>INDEX(tblMatières[Previous reported quantity],MATCH($B25,tblMatières[Material],0))</f>
        <v>5461.9110000000001</v>
      </c>
      <c r="D25" s="576">
        <f>INDEX(tblMatières[Previous fee],MATCH($B25,tblMatières[Material],0))</f>
        <v>284.79961387104032</v>
      </c>
      <c r="E25" s="176">
        <f>INDEX(tblMatières[Reported quantity (tonnes)],MATCH($B25,tblMatières[Material],0))</f>
        <v>6206.1570000000002</v>
      </c>
      <c r="F25" s="576">
        <f>SUM(Fees!H26:K26)/Fees!G26</f>
        <v>220.62926694224046</v>
      </c>
      <c r="G25" s="577">
        <f t="shared" si="6"/>
        <v>-0.22531753486806594</v>
      </c>
      <c r="H25" s="302">
        <f t="shared" si="7"/>
        <v>427.19942080656051</v>
      </c>
      <c r="I25" s="586">
        <f t="shared" si="8"/>
        <v>0</v>
      </c>
      <c r="J25" s="487">
        <f t="shared" si="9"/>
        <v>-1282006.806396127</v>
      </c>
      <c r="K25" s="577">
        <f t="shared" si="10"/>
        <v>2.64495913334814E-2</v>
      </c>
      <c r="L25" s="628">
        <f t="shared" si="11"/>
        <v>126044.74873723077</v>
      </c>
    </row>
    <row r="26" spans="1:12">
      <c r="A26" s="43" t="str">
        <f>'Executive Summary'!A25</f>
        <v>TOTAL - Paperboard</v>
      </c>
      <c r="B26" s="10"/>
      <c r="C26" s="22">
        <f t="shared" ref="C26:E26" si="12">SUBTOTAL(9,C19:C25)</f>
        <v>184717.18</v>
      </c>
      <c r="D26" s="22"/>
      <c r="E26" s="22">
        <f t="shared" si="12"/>
        <v>178777.73300000001</v>
      </c>
      <c r="F26" s="22"/>
      <c r="G26" s="305"/>
      <c r="H26" s="305"/>
      <c r="I26" s="623">
        <f t="shared" ref="I26:K26" si="13">SUBTOTAL(9,I19:I25)</f>
        <v>0</v>
      </c>
      <c r="J26" s="583">
        <f t="shared" si="13"/>
        <v>-20327887.580553189</v>
      </c>
      <c r="K26" s="89">
        <f t="shared" si="13"/>
        <v>0.4193927181167017</v>
      </c>
      <c r="L26" s="583">
        <f t="shared" ref="L26" si="14">SUBTOTAL(9,L19:L25)</f>
        <v>1998603.6498918552</v>
      </c>
    </row>
    <row r="27" spans="1:12">
      <c r="A27" s="46" t="str">
        <f>'Executive Summary'!A26</f>
        <v>Plastic</v>
      </c>
      <c r="B27" s="37" t="str">
        <f>INDEX(ListeMatières,14)</f>
        <v>PET bottles</v>
      </c>
      <c r="C27" s="163">
        <f>INDEX(tblMatières[Previous reported quantity],MATCH($B27,tblMatières[Material],0))</f>
        <v>22223.485000000001</v>
      </c>
      <c r="D27" s="576">
        <f>INDEX(tblMatières[Previous fee],MATCH($B27,tblMatières[Material],0))</f>
        <v>220.27113635334769</v>
      </c>
      <c r="E27" s="176">
        <f>INDEX(tblMatières[Reported quantity (tonnes)],MATCH($B27,tblMatières[Material],0))</f>
        <v>23176.743999999999</v>
      </c>
      <c r="F27" s="576">
        <f>SUM(Fees!$H$28:$K$28)/(Fees!$G$28+Fees!$G$36)</f>
        <v>258.05101041290357</v>
      </c>
      <c r="G27" s="577">
        <f t="shared" ref="G27:G37" si="15">F27/D27-1</f>
        <v>0.17151531828006439</v>
      </c>
      <c r="H27" s="302">
        <f t="shared" ref="H27:H37" si="16">D27*(1+LimiteHausse)</f>
        <v>330.40670453002156</v>
      </c>
      <c r="I27" s="586">
        <f t="shared" ref="I27:I37" si="17">MAX((F27-H27)*E27,0)</f>
        <v>0</v>
      </c>
      <c r="J27" s="487">
        <f>MIN((F27-H27)*(E27+E35)/2,0)</f>
        <v>-1094183.4278118815</v>
      </c>
      <c r="K27" s="577">
        <f t="shared" ref="K27:K37" si="18">J27/$J$48</f>
        <v>2.2574532650764829E-2</v>
      </c>
      <c r="L27" s="628">
        <f t="shared" ref="L27:L37" si="19">K27*$I$48-I27</f>
        <v>107578.27067914631</v>
      </c>
    </row>
    <row r="28" spans="1:12">
      <c r="A28" s="265"/>
      <c r="B28" s="37" t="str">
        <f>INDEX(ListeMatières,15)</f>
        <v>HDPE bottles</v>
      </c>
      <c r="C28" s="163">
        <f>INDEX(tblMatières[Previous reported quantity],MATCH($B28,tblMatières[Material],0))</f>
        <v>17578.083999999999</v>
      </c>
      <c r="D28" s="576">
        <f>INDEX(tblMatières[Previous fee],MATCH($B28,tblMatières[Material],0))</f>
        <v>217.41066542563917</v>
      </c>
      <c r="E28" s="176">
        <f>INDEX(tblMatières[Reported quantity (tonnes)],MATCH($B28,tblMatières[Material],0))</f>
        <v>16609.435000000001</v>
      </c>
      <c r="F28" s="576">
        <f>SUM(Fees!H29:K29)/Fees!G29</f>
        <v>154.70667941191596</v>
      </c>
      <c r="G28" s="577">
        <f t="shared" si="15"/>
        <v>-0.28841264935629307</v>
      </c>
      <c r="H28" s="302">
        <f t="shared" si="16"/>
        <v>326.11599813845874</v>
      </c>
      <c r="I28" s="586">
        <f t="shared" si="17"/>
        <v>0</v>
      </c>
      <c r="J28" s="487">
        <f t="shared" ref="J28:J37" si="20">MIN((F28-H28)*E28,0)</f>
        <v>-2847011.9377827952</v>
      </c>
      <c r="K28" s="577">
        <f t="shared" si="18"/>
        <v>5.8737833450027928E-2</v>
      </c>
      <c r="L28" s="628">
        <f t="shared" si="19"/>
        <v>279913.41587218345</v>
      </c>
    </row>
    <row r="29" spans="1:12">
      <c r="A29" s="265"/>
      <c r="B29" s="37" t="str">
        <f>INDEX(ListeMatières,16)</f>
        <v>Plastic laminants</v>
      </c>
      <c r="C29" s="163">
        <f>INDEX(tblMatières[Previous reported quantity],MATCH($B29,tblMatières[Material],0))</f>
        <v>10683.6</v>
      </c>
      <c r="D29" s="576">
        <f>INDEX(tblMatières[Previous fee],MATCH($B29,tblMatières[Material],0))</f>
        <v>517.80914879540842</v>
      </c>
      <c r="E29" s="176">
        <f>INDEX(tblMatières[Reported quantity (tonnes)],MATCH($B29,tblMatières[Material],0))</f>
        <v>12064.946</v>
      </c>
      <c r="F29" s="576">
        <f>SUM(Fees!$H$30:$K$32)/SUM(Fees!$G$30:$G$32)</f>
        <v>455.60462967261191</v>
      </c>
      <c r="G29" s="577">
        <f t="shared" si="15"/>
        <v>-0.12013020485926973</v>
      </c>
      <c r="H29" s="302">
        <f t="shared" si="16"/>
        <v>776.71372319311263</v>
      </c>
      <c r="I29" s="586">
        <f t="shared" si="17"/>
        <v>0</v>
      </c>
      <c r="J29" s="487">
        <f t="shared" si="20"/>
        <v>-3874163.8734337911</v>
      </c>
      <c r="K29" s="577">
        <f t="shared" si="18"/>
        <v>7.9929412776923225E-2</v>
      </c>
      <c r="L29" s="628">
        <f t="shared" si="19"/>
        <v>380901.26320509845</v>
      </c>
    </row>
    <row r="30" spans="1:12">
      <c r="A30" s="265"/>
      <c r="B30" s="37" t="str">
        <f>INDEX(ListeMatières,17)</f>
        <v>HDPE and LDPE plastic film</v>
      </c>
      <c r="C30" s="163">
        <f>INDEX(tblMatières[Previous reported quantity],MATCH($B30,tblMatières[Material],0))</f>
        <v>22158.671999999999</v>
      </c>
      <c r="D30" s="576">
        <f>INDEX(tblMatières[Previous fee],MATCH($B30,tblMatières[Material],0))</f>
        <v>517.80914879540842</v>
      </c>
      <c r="E30" s="176">
        <f>INDEX(tblMatières[Reported quantity (tonnes)],MATCH($B30,tblMatières[Material],0))</f>
        <v>21920.366999999998</v>
      </c>
      <c r="F30" s="576">
        <f>SUM(Fees!$H$30:$K$32)/SUM(Fees!$G$30:$G$32)</f>
        <v>455.60462967261191</v>
      </c>
      <c r="G30" s="577">
        <f t="shared" si="15"/>
        <v>-0.12013020485926973</v>
      </c>
      <c r="H30" s="302">
        <f t="shared" si="16"/>
        <v>776.71372319311263</v>
      </c>
      <c r="I30" s="586">
        <f t="shared" si="17"/>
        <v>0</v>
      </c>
      <c r="J30" s="487">
        <f t="shared" si="20"/>
        <v>-7038829.1770066973</v>
      </c>
      <c r="K30" s="577">
        <f t="shared" si="18"/>
        <v>0.1452208789135605</v>
      </c>
      <c r="L30" s="628">
        <f t="shared" si="19"/>
        <v>692045.8226849382</v>
      </c>
    </row>
    <row r="31" spans="1:12">
      <c r="A31" s="265"/>
      <c r="B31" s="37" t="str">
        <f>INDEX(ListeMatières,18)</f>
        <v>HDPE and LDPE plastic shopping bags</v>
      </c>
      <c r="C31" s="163">
        <f>INDEX(tblMatières[Previous reported quantity],MATCH($B31,tblMatières[Material],0))</f>
        <v>8805.6119999999992</v>
      </c>
      <c r="D31" s="576">
        <f>INDEX(tblMatières[Previous fee],MATCH($B31,tblMatières[Material],0))</f>
        <v>517.80914879540842</v>
      </c>
      <c r="E31" s="176">
        <f>INDEX(tblMatières[Reported quantity (tonnes)],MATCH($B31,tblMatières[Material],0))</f>
        <v>9207.6</v>
      </c>
      <c r="F31" s="576">
        <f>SUM(Fees!$H$30:$K$32)/SUM(Fees!$G$30:$G$32)</f>
        <v>455.60462967261191</v>
      </c>
      <c r="G31" s="577">
        <f t="shared" si="15"/>
        <v>-0.12013020485926973</v>
      </c>
      <c r="H31" s="302">
        <f t="shared" si="16"/>
        <v>776.71372319311263</v>
      </c>
      <c r="I31" s="586">
        <f t="shared" si="17"/>
        <v>0</v>
      </c>
      <c r="J31" s="487">
        <f t="shared" si="20"/>
        <v>-2956644.0894993627</v>
      </c>
      <c r="K31" s="577">
        <f t="shared" si="18"/>
        <v>6.0999697892124706E-2</v>
      </c>
      <c r="L31" s="628">
        <f t="shared" si="19"/>
        <v>290692.26427430881</v>
      </c>
    </row>
    <row r="32" spans="1:12">
      <c r="A32" s="265"/>
      <c r="B32" s="37" t="str">
        <f>INDEX(ListeMatières,19)</f>
        <v>Expanded polystyrene food</v>
      </c>
      <c r="C32" s="163">
        <f>INDEX(tblMatières[Previous reported quantity],MATCH($B32,tblMatières[Material],0))</f>
        <v>5517.9520000000002</v>
      </c>
      <c r="D32" s="576">
        <f>INDEX(tblMatières[Previous fee],MATCH($B32,tblMatières[Material],0))</f>
        <v>681.33429945303385</v>
      </c>
      <c r="E32" s="176">
        <f>INDEX(tblMatières[Reported quantity (tonnes)],MATCH($B32,tblMatières[Material],0))</f>
        <v>4326.0749999999998</v>
      </c>
      <c r="F32" s="576">
        <f>SUM(Fees!H33:K35)/(SUM(Fees!G33:G35) + Fees!G37)</f>
        <v>722.96125605278598</v>
      </c>
      <c r="G32" s="577">
        <f t="shared" si="15"/>
        <v>6.1096229315285688E-2</v>
      </c>
      <c r="H32" s="302">
        <f t="shared" si="16"/>
        <v>1022.0014491795507</v>
      </c>
      <c r="I32" s="586">
        <f t="shared" si="17"/>
        <v>0</v>
      </c>
      <c r="J32" s="487">
        <f t="shared" si="20"/>
        <v>-1293670.3034808687</v>
      </c>
      <c r="K32" s="577">
        <f t="shared" si="18"/>
        <v>2.6690225571826737E-2</v>
      </c>
      <c r="L32" s="628">
        <f t="shared" si="19"/>
        <v>127191.48411500646</v>
      </c>
    </row>
    <row r="33" spans="1:12">
      <c r="A33" s="265"/>
      <c r="B33" s="37" t="str">
        <f>INDEX(ListeMatières,20)</f>
        <v>Expanded polystyrene protection</v>
      </c>
      <c r="C33" s="163">
        <f>INDEX(tblMatières[Previous reported quantity],MATCH($B33,tblMatières[Material],0))</f>
        <v>3608.6619999999998</v>
      </c>
      <c r="D33" s="576">
        <f>INDEX(tblMatières[Previous fee],MATCH($B33,tblMatières[Material],0))</f>
        <v>681.33429945303385</v>
      </c>
      <c r="E33" s="176">
        <f>INDEX(tblMatières[Reported quantity (tonnes)],MATCH($B33,tblMatières[Material],0))</f>
        <v>1850.1969999999999</v>
      </c>
      <c r="F33" s="576">
        <f>F32</f>
        <v>722.96125605278598</v>
      </c>
      <c r="G33" s="577">
        <f t="shared" si="15"/>
        <v>6.1096229315285688E-2</v>
      </c>
      <c r="H33" s="302">
        <f t="shared" si="16"/>
        <v>1022.0014491795507</v>
      </c>
      <c r="I33" s="586">
        <f t="shared" si="17"/>
        <v>0</v>
      </c>
      <c r="J33" s="487">
        <f t="shared" si="20"/>
        <v>-553283.26820256072</v>
      </c>
      <c r="K33" s="577">
        <f t="shared" si="18"/>
        <v>1.1415006739900976E-2</v>
      </c>
      <c r="L33" s="628">
        <f t="shared" si="19"/>
        <v>54397.878523865773</v>
      </c>
    </row>
    <row r="34" spans="1:12">
      <c r="A34" s="265"/>
      <c r="B34" s="37" t="str">
        <f>INDEX(ListeMatières,21)</f>
        <v>Non-expanded polystyrene</v>
      </c>
      <c r="C34" s="163">
        <f>INDEX(tblMatières[Previous reported quantity],MATCH($B34,tblMatières[Material],0))</f>
        <v>5518.7359999999999</v>
      </c>
      <c r="D34" s="576">
        <f>INDEX(tblMatières[Previous fee],MATCH($B34,tblMatières[Material],0))</f>
        <v>681.33429945303385</v>
      </c>
      <c r="E34" s="176">
        <f>INDEX(tblMatières[Reported quantity (tonnes)],MATCH($B34,tblMatières[Material],0))</f>
        <v>5060.2809999999999</v>
      </c>
      <c r="F34" s="576">
        <f>F32</f>
        <v>722.96125605278598</v>
      </c>
      <c r="G34" s="577">
        <f t="shared" si="15"/>
        <v>6.1096229315285688E-2</v>
      </c>
      <c r="H34" s="302">
        <f t="shared" si="16"/>
        <v>1022.0014491795507</v>
      </c>
      <c r="I34" s="586">
        <f t="shared" si="17"/>
        <v>0</v>
      </c>
      <c r="J34" s="487">
        <f t="shared" si="20"/>
        <v>-1513227.4075156981</v>
      </c>
      <c r="K34" s="577">
        <f t="shared" si="18"/>
        <v>3.1219995341465179E-2</v>
      </c>
      <c r="L34" s="628">
        <f t="shared" si="19"/>
        <v>148777.9685809814</v>
      </c>
    </row>
    <row r="35" spans="1:12">
      <c r="A35" s="265"/>
      <c r="B35" s="37" t="str">
        <f>INDEX(ListeMatières,22)</f>
        <v>PET containers</v>
      </c>
      <c r="C35" s="163">
        <f>INDEX(tblMatières[Previous reported quantity],MATCH($B35,tblMatières[Material],0))</f>
        <v>6133.366</v>
      </c>
      <c r="D35" s="576">
        <f>INDEX(tblMatières[Previous fee],MATCH($B35,tblMatières[Material],0))</f>
        <v>266.37333864174002</v>
      </c>
      <c r="E35" s="176">
        <f>INDEX(tblMatières[Reported quantity (tonnes)],MATCH($B35,tblMatières[Material],0))</f>
        <v>7067.826</v>
      </c>
      <c r="F35" s="576">
        <f>SUM(Fees!$H$28:$K$28)/(Fees!$G$28+Fees!$G$36)</f>
        <v>258.05101041290357</v>
      </c>
      <c r="G35" s="577">
        <f t="shared" si="15"/>
        <v>-3.1243097643603113E-2</v>
      </c>
      <c r="H35" s="302">
        <f t="shared" si="16"/>
        <v>399.56000796261003</v>
      </c>
      <c r="I35" s="586">
        <f t="shared" si="17"/>
        <v>0</v>
      </c>
      <c r="J35" s="487">
        <f>MIN((F35-H35)*(E27+E35)/2,0)</f>
        <v>-2139939.3910109629</v>
      </c>
      <c r="K35" s="577">
        <f t="shared" si="18"/>
        <v>4.4149939055136381E-2</v>
      </c>
      <c r="L35" s="628">
        <f t="shared" si="19"/>
        <v>210395.2346486499</v>
      </c>
    </row>
    <row r="36" spans="1:12">
      <c r="A36" s="265"/>
      <c r="B36" s="37" t="str">
        <f>INDEX(ListeMatières,23)</f>
        <v>Polylactic acid (PLA) and other degradable plastics</v>
      </c>
      <c r="C36" s="163">
        <f>INDEX(tblMatières[Previous reported quantity],MATCH($B36,tblMatières[Material],0))</f>
        <v>289.577</v>
      </c>
      <c r="D36" s="576">
        <f>INDEX(tblMatières[Previous fee],MATCH($B36,tblMatières[Material],0))</f>
        <v>681.33429945303385</v>
      </c>
      <c r="E36" s="176">
        <f>INDEX(tblMatières[Reported quantity (tonnes)],MATCH($B36,tblMatières[Material],0))</f>
        <v>88.733999999999995</v>
      </c>
      <c r="F36" s="576">
        <f>F34</f>
        <v>722.96125605278598</v>
      </c>
      <c r="G36" s="577">
        <f t="shared" si="15"/>
        <v>6.1096229315285688E-2</v>
      </c>
      <c r="H36" s="302">
        <f t="shared" si="16"/>
        <v>1022.0014491795507</v>
      </c>
      <c r="I36" s="586">
        <f t="shared" si="17"/>
        <v>0</v>
      </c>
      <c r="J36" s="487">
        <f t="shared" si="20"/>
        <v>-26535.032496910339</v>
      </c>
      <c r="K36" s="577">
        <f t="shared" si="18"/>
        <v>5.4745478889997828E-4</v>
      </c>
      <c r="L36" s="628">
        <f t="shared" si="19"/>
        <v>2608.8796776433564</v>
      </c>
    </row>
    <row r="37" spans="1:12">
      <c r="A37" s="265"/>
      <c r="B37" s="37" t="str">
        <f>INDEX(ListeMatières,24)</f>
        <v>Other plastics, polymers and polyurethane</v>
      </c>
      <c r="C37" s="163">
        <f>INDEX(tblMatières[Previous reported quantity],MATCH($B37,tblMatières[Material],0))</f>
        <v>27062.167000000001</v>
      </c>
      <c r="D37" s="576">
        <f>INDEX(tblMatières[Previous fee],MATCH($B37,tblMatières[Material],0))</f>
        <v>266.37333864174002</v>
      </c>
      <c r="E37" s="176">
        <f>INDEX(tblMatières[Reported quantity (tonnes)],MATCH($B37,tblMatières[Material],0))</f>
        <v>33319.733</v>
      </c>
      <c r="F37" s="576">
        <f>SUM(Fees!H38:K38)/Fees!G38</f>
        <v>295.67664480784839</v>
      </c>
      <c r="G37" s="577">
        <f t="shared" si="15"/>
        <v>0.11000840517871779</v>
      </c>
      <c r="H37" s="302">
        <f t="shared" si="16"/>
        <v>399.56000796261003</v>
      </c>
      <c r="I37" s="586">
        <f t="shared" si="17"/>
        <v>0</v>
      </c>
      <c r="J37" s="487">
        <f t="shared" si="20"/>
        <v>-3461365.9234586954</v>
      </c>
      <c r="K37" s="577">
        <f t="shared" si="18"/>
        <v>7.1412814405005909E-2</v>
      </c>
      <c r="L37" s="628">
        <f t="shared" si="19"/>
        <v>340315.66442023695</v>
      </c>
    </row>
    <row r="38" spans="1:12">
      <c r="A38" s="43" t="str">
        <f>'Executive Summary'!A37</f>
        <v>TOTAL - Plastic</v>
      </c>
      <c r="B38" s="10"/>
      <c r="C38" s="22">
        <f t="shared" ref="C38:E38" si="21">SUBTOTAL(9,C27:C37)</f>
        <v>129579.913</v>
      </c>
      <c r="D38" s="22"/>
      <c r="E38" s="22">
        <f t="shared" si="21"/>
        <v>134691.93799999999</v>
      </c>
      <c r="F38" s="22"/>
      <c r="G38" s="305"/>
      <c r="H38" s="305"/>
      <c r="I38" s="623">
        <f t="shared" ref="I38:K38" si="22">SUBTOTAL(9,I27:I37)</f>
        <v>0</v>
      </c>
      <c r="J38" s="583">
        <f t="shared" si="22"/>
        <v>-26798853.831700221</v>
      </c>
      <c r="K38" s="89">
        <f t="shared" si="22"/>
        <v>0.55289779158563634</v>
      </c>
      <c r="L38" s="583">
        <f t="shared" ref="L38" si="23">SUBTOTAL(9,L27:L37)</f>
        <v>2634818.1466820589</v>
      </c>
    </row>
    <row r="39" spans="1:12">
      <c r="A39" s="46" t="str">
        <f>'Executive Summary'!A38</f>
        <v>Aluminium</v>
      </c>
      <c r="B39" s="37" t="str">
        <f>INDEX(ListeMatières,25)</f>
        <v>Aluminium containers for food and beverages</v>
      </c>
      <c r="C39" s="163">
        <f>INDEX(tblMatières[Previous reported quantity],MATCH($B39,tblMatières[Material],0))</f>
        <v>2617.3319999999999</v>
      </c>
      <c r="D39" s="576">
        <f>INDEX(tblMatières[Previous fee],MATCH($B39,tblMatières[Material],0))</f>
        <v>187.76535110527985</v>
      </c>
      <c r="E39" s="176">
        <f>INDEX(tblMatières[Reported quantity (tonnes)],MATCH($B39,tblMatières[Material],0))</f>
        <v>2927.57</v>
      </c>
      <c r="F39" s="576">
        <f>SUM(Fees!H40:K41)/SUM(Fees!G40:G41)</f>
        <v>123.69698758649639</v>
      </c>
      <c r="G39" s="577">
        <f>F39/D39-1</f>
        <v>-0.34121504921778878</v>
      </c>
      <c r="H39" s="302">
        <f>D39*(1+LimiteHausse)</f>
        <v>281.64802665791979</v>
      </c>
      <c r="I39" s="586">
        <f t="shared" ref="I39:I40" si="24">MAX((F39-H39)*E39,0)</f>
        <v>0</v>
      </c>
      <c r="J39" s="487">
        <f t="shared" ref="J39:J40" si="25">MIN((F39-H39)*E39,0)</f>
        <v>-462412.72345432703</v>
      </c>
      <c r="K39" s="577">
        <f t="shared" ref="K39:K40" si="26">J39/$J$48</f>
        <v>9.5402204588529785E-3</v>
      </c>
      <c r="L39" s="628">
        <f t="shared" ref="L39:L40" si="27">K39*$I$48-I39</f>
        <v>45463.639701371329</v>
      </c>
    </row>
    <row r="40" spans="1:12">
      <c r="A40" s="46"/>
      <c r="B40" s="37" t="str">
        <f>INDEX(ListeMatières,26)</f>
        <v>Other aluminium containers and packaging</v>
      </c>
      <c r="C40" s="163">
        <f>INDEX(tblMatières[Previous reported quantity],MATCH($B40,tblMatières[Material],0))</f>
        <v>2030.9829999999999</v>
      </c>
      <c r="D40" s="576">
        <f>INDEX(tblMatières[Previous fee],MATCH($B40,tblMatières[Material],0))</f>
        <v>187.76535110527985</v>
      </c>
      <c r="E40" s="176">
        <f>INDEX(tblMatières[Reported quantity (tonnes)],MATCH($B40,tblMatières[Material],0))</f>
        <v>2080.9479999999999</v>
      </c>
      <c r="F40" s="576">
        <f>F39</f>
        <v>123.69698758649639</v>
      </c>
      <c r="G40" s="577">
        <f>F40/D40-1</f>
        <v>-0.34121504921778878</v>
      </c>
      <c r="H40" s="302">
        <f>D40*(1+LimiteHausse)</f>
        <v>281.64802665791979</v>
      </c>
      <c r="I40" s="586">
        <f t="shared" si="24"/>
        <v>0</v>
      </c>
      <c r="J40" s="487">
        <f t="shared" si="25"/>
        <v>-328687.89885360037</v>
      </c>
      <c r="K40" s="577">
        <f t="shared" si="26"/>
        <v>6.7812905185560667E-3</v>
      </c>
      <c r="L40" s="628">
        <f t="shared" si="27"/>
        <v>32316.040302807192</v>
      </c>
    </row>
    <row r="41" spans="1:12">
      <c r="A41" s="43" t="str">
        <f>'Executive Summary'!A40</f>
        <v>TOTAL - Aluminium</v>
      </c>
      <c r="B41" s="10"/>
      <c r="C41" s="22">
        <f>SUBTOTAL(9,C39:C40)</f>
        <v>4648.3149999999996</v>
      </c>
      <c r="D41" s="22"/>
      <c r="E41" s="22">
        <f>SUBTOTAL(9,E39:E40)</f>
        <v>5008.518</v>
      </c>
      <c r="F41" s="22"/>
      <c r="G41" s="305"/>
      <c r="H41" s="305"/>
      <c r="I41" s="623">
        <f>SUBTOTAL(9,I39:I40)</f>
        <v>0</v>
      </c>
      <c r="J41" s="583">
        <f>SUBTOTAL(9,J39:J40)</f>
        <v>-791100.62230792735</v>
      </c>
      <c r="K41" s="89">
        <f>SUBTOTAL(9,K39:K40)</f>
        <v>1.6321510977409047E-2</v>
      </c>
      <c r="L41" s="583">
        <f>SUBTOTAL(9,L39:L40)</f>
        <v>77779.680004178517</v>
      </c>
    </row>
    <row r="42" spans="1:12">
      <c r="A42" s="46" t="str">
        <f>'Executive Summary'!A41</f>
        <v>Steel</v>
      </c>
      <c r="B42" s="37" t="str">
        <f>INDEX(ListeMatières,27)</f>
        <v>Steel aerosol containers</v>
      </c>
      <c r="C42" s="163">
        <f>INDEX(tblMatières[Previous reported quantity],MATCH($B42,tblMatières[Material],0))</f>
        <v>2221.808</v>
      </c>
      <c r="D42" s="576">
        <f>INDEX(tblMatières[Previous fee],MATCH($B42,tblMatières[Material],0))</f>
        <v>114.87126320595611</v>
      </c>
      <c r="E42" s="176">
        <f>INDEX(tblMatières[Reported quantity (tonnes)],MATCH($B42,tblMatières[Material],0))</f>
        <v>1674.4069999999999</v>
      </c>
      <c r="F42" s="576">
        <f>SUM(Fees!H43:K44)/SUM(Fees!G43:G44)</f>
        <v>152.996303242121</v>
      </c>
      <c r="G42" s="577">
        <f>F42/D42-1</f>
        <v>0.33189362571742054</v>
      </c>
      <c r="H42" s="302">
        <f>D42*(1+LimiteHausse)</f>
        <v>172.30689480893417</v>
      </c>
      <c r="I42" s="586">
        <f t="shared" ref="I42:I43" si="28">MAX((F42-H42)*E42,0)</f>
        <v>0</v>
      </c>
      <c r="J42" s="487">
        <f t="shared" ref="J42:J43" si="29">MIN((F42-H42)*E42,0)</f>
        <v>-32333.789693612944</v>
      </c>
      <c r="K42" s="577">
        <f t="shared" ref="K42:K43" si="30">J42/$J$48</f>
        <v>6.6709125052378409E-4</v>
      </c>
      <c r="L42" s="628">
        <f t="shared" ref="L42:L43" si="31">K42*$I$48-I42</f>
        <v>3179.0037130228898</v>
      </c>
    </row>
    <row r="43" spans="1:12">
      <c r="A43" s="46"/>
      <c r="B43" s="37" t="str">
        <f>INDEX(ListeMatières,28)</f>
        <v>Other steel containers</v>
      </c>
      <c r="C43" s="163">
        <f>INDEX(tblMatières[Previous reported quantity],MATCH($B43,tblMatières[Material],0))</f>
        <v>30876.32</v>
      </c>
      <c r="D43" s="576">
        <f>INDEX(tblMatières[Previous fee],MATCH($B43,tblMatières[Material],0))</f>
        <v>114.87126320595611</v>
      </c>
      <c r="E43" s="176">
        <f>INDEX(tblMatières[Reported quantity (tonnes)],MATCH($B43,tblMatières[Material],0))</f>
        <v>26909.557000000001</v>
      </c>
      <c r="F43" s="576">
        <f>F42</f>
        <v>152.996303242121</v>
      </c>
      <c r="G43" s="577">
        <f>F43/D43-1</f>
        <v>0.33189362571742054</v>
      </c>
      <c r="H43" s="302">
        <f>D43*(1+LimiteHausse)</f>
        <v>172.30689480893417</v>
      </c>
      <c r="I43" s="586">
        <f t="shared" si="28"/>
        <v>0</v>
      </c>
      <c r="J43" s="487">
        <f t="shared" si="29"/>
        <v>-519639.46447087842</v>
      </c>
      <c r="K43" s="577">
        <f t="shared" si="30"/>
        <v>1.0720888069729194E-2</v>
      </c>
      <c r="L43" s="628">
        <f t="shared" si="31"/>
        <v>51090.076438285978</v>
      </c>
    </row>
    <row r="44" spans="1:12">
      <c r="A44" s="43" t="str">
        <f>'Executive Summary'!A43</f>
        <v>TOTAL - Steel</v>
      </c>
      <c r="B44" s="10"/>
      <c r="C44" s="22">
        <f t="shared" ref="C44:E44" si="32">SUBTOTAL(9,C42:C43)</f>
        <v>33098.127999999997</v>
      </c>
      <c r="D44" s="22"/>
      <c r="E44" s="22">
        <f t="shared" si="32"/>
        <v>28583.964</v>
      </c>
      <c r="F44" s="22"/>
      <c r="G44" s="305"/>
      <c r="H44" s="305"/>
      <c r="I44" s="623">
        <f t="shared" ref="I44:K44" si="33">SUBTOTAL(9,I42:I43)</f>
        <v>0</v>
      </c>
      <c r="J44" s="583">
        <f t="shared" si="33"/>
        <v>-551973.25416449131</v>
      </c>
      <c r="K44" s="89">
        <f t="shared" si="33"/>
        <v>1.1387979320252978E-2</v>
      </c>
      <c r="L44" s="583">
        <f t="shared" ref="L44" si="34">SUBTOTAL(9,L42:L43)</f>
        <v>54269.080151308866</v>
      </c>
    </row>
    <row r="45" spans="1:12">
      <c r="A45" s="46" t="str">
        <f>'Executive Summary'!A44</f>
        <v>Glass</v>
      </c>
      <c r="B45" s="37" t="str">
        <f>INDEX(ListeMatières,29)</f>
        <v>Clear glass</v>
      </c>
      <c r="C45" s="163">
        <f>INDEX(tblMatières[Previous reported quantity],MATCH($B45,tblMatières[Material],0))</f>
        <v>55031.042999999998</v>
      </c>
      <c r="D45" s="576">
        <f>INDEX(tblMatières[Previous fee],MATCH($B45,tblMatières[Material],0))</f>
        <v>97.11413046968147</v>
      </c>
      <c r="E45" s="176">
        <f>INDEX(tblMatières[Reported quantity (tonnes)],MATCH($B45,tblMatières[Material],0))</f>
        <v>54262.898999999998</v>
      </c>
      <c r="F45" s="576">
        <f>SUM(Fees!H46:K46)/Fees!G46</f>
        <v>177.64075220302044</v>
      </c>
      <c r="G45" s="577">
        <f>F45/D45-1</f>
        <v>0.82919572408135767</v>
      </c>
      <c r="H45" s="302">
        <f>D45*(1+LimiteHausse)</f>
        <v>145.67119570452221</v>
      </c>
      <c r="I45" s="586">
        <f t="shared" ref="I45:I46" si="35">MAX((F45-H45)*E45,0)</f>
        <v>1734760.8153528033</v>
      </c>
      <c r="J45" s="487">
        <f t="shared" ref="J45:J46" si="36">MIN((F45-H45)*E45,0)</f>
        <v>0</v>
      </c>
      <c r="K45" s="577">
        <f t="shared" ref="K45:K46" si="37">J45/$J$48</f>
        <v>0</v>
      </c>
      <c r="L45" s="628">
        <f t="shared" ref="L45:L46" si="38">K45*$I$48-I45</f>
        <v>-1734760.8153528033</v>
      </c>
    </row>
    <row r="46" spans="1:12">
      <c r="A46" s="46"/>
      <c r="B46" s="242" t="str">
        <f>INDEX(ListeMatières,30)</f>
        <v>Coloured glass</v>
      </c>
      <c r="C46" s="163">
        <f>INDEX(tblMatières[Previous reported quantity],MATCH($B46,tblMatières[Material],0))</f>
        <v>92546.828999999998</v>
      </c>
      <c r="D46" s="576">
        <f>INDEX(tblMatières[Previous fee],MATCH($B46,tblMatières[Material],0))</f>
        <v>94.40671131898182</v>
      </c>
      <c r="E46" s="176">
        <f>INDEX(tblMatières[Reported quantity (tonnes)],MATCH($B46,tblMatières[Material],0))</f>
        <v>82425.142000000007</v>
      </c>
      <c r="F46" s="576">
        <f>SUM(Fees!H47:K47)/Fees!G47</f>
        <v>178.37930592472287</v>
      </c>
      <c r="G46" s="577">
        <f>F46/D46-1</f>
        <v>0.88947696019209976</v>
      </c>
      <c r="H46" s="302">
        <f>D46*(1+LimiteHausse)</f>
        <v>141.61006697847273</v>
      </c>
      <c r="I46" s="586">
        <f t="shared" si="35"/>
        <v>3030709.7413765984</v>
      </c>
      <c r="J46" s="487">
        <f t="shared" si="36"/>
        <v>0</v>
      </c>
      <c r="K46" s="577">
        <f t="shared" si="37"/>
        <v>0</v>
      </c>
      <c r="L46" s="628">
        <f t="shared" si="38"/>
        <v>-3030709.7413765984</v>
      </c>
    </row>
    <row r="47" spans="1:12">
      <c r="A47" s="43" t="str">
        <f>'Executive Summary'!A46</f>
        <v>TOTAL - Glass</v>
      </c>
      <c r="B47" s="10"/>
      <c r="C47" s="167">
        <f t="shared" ref="C47:E47" si="39">SUBTOTAL(9,C45:C46)</f>
        <v>147577.872</v>
      </c>
      <c r="D47" s="22"/>
      <c r="E47" s="22">
        <f t="shared" si="39"/>
        <v>136688.041</v>
      </c>
      <c r="F47" s="626"/>
      <c r="G47" s="305"/>
      <c r="H47" s="305"/>
      <c r="I47" s="623">
        <f t="shared" ref="I47:J47" si="40">SUBTOTAL(9,I45:I46)</f>
        <v>4765470.5567294015</v>
      </c>
      <c r="J47" s="583">
        <f t="shared" si="40"/>
        <v>0</v>
      </c>
      <c r="K47" s="89">
        <f t="shared" ref="K47:L47" si="41">SUBTOTAL(9,K45:K46)</f>
        <v>0</v>
      </c>
      <c r="L47" s="583">
        <f t="shared" si="41"/>
        <v>-4765470.5567294015</v>
      </c>
    </row>
    <row r="48" spans="1:12" ht="15.75" thickBot="1">
      <c r="A48" s="56" t="str">
        <f>'Executive Summary'!A47</f>
        <v>TOTAL - CONTAINERS AND PACKAGING</v>
      </c>
      <c r="B48" s="23"/>
      <c r="C48" s="574">
        <f>SUBTOTAL(9,C19:C47)</f>
        <v>499621.40799999994</v>
      </c>
      <c r="D48" s="21"/>
      <c r="E48" s="21">
        <f>SUBTOTAL(9,E19:E47)</f>
        <v>483750.19400000002</v>
      </c>
      <c r="F48" s="627"/>
      <c r="G48" s="306"/>
      <c r="H48" s="306"/>
      <c r="I48" s="624">
        <f>SUBTOTAL(9,I19:I47)</f>
        <v>4765470.5567294015</v>
      </c>
      <c r="J48" s="584">
        <f>SUBTOTAL(9,J19:J47)</f>
        <v>-48469815.288725831</v>
      </c>
      <c r="K48" s="183">
        <f>SUBTOTAL(9,K19:K47)</f>
        <v>0.99999999999999989</v>
      </c>
      <c r="L48" s="584">
        <f>SUBTOTAL(9,L19:L47)</f>
        <v>0</v>
      </c>
    </row>
    <row r="49" spans="1:12" ht="8.25" customHeight="1">
      <c r="A49" s="265"/>
      <c r="B49" s="35"/>
      <c r="C49" s="116"/>
      <c r="D49" s="144"/>
      <c r="E49" s="144"/>
      <c r="F49" s="37"/>
      <c r="G49" s="302"/>
      <c r="H49" s="302"/>
      <c r="I49" s="302"/>
      <c r="J49" s="302"/>
      <c r="K49" s="17"/>
      <c r="L49" s="302"/>
    </row>
    <row r="50" spans="1:12" ht="15.75" thickBot="1">
      <c r="A50" s="57" t="str">
        <f>'Executive Summary'!A49</f>
        <v>TOTAL</v>
      </c>
      <c r="B50" s="14"/>
      <c r="C50" s="168">
        <f>SUBTOTAL(9,C10:C48)</f>
        <v>671291.8870000001</v>
      </c>
      <c r="D50" s="220"/>
      <c r="E50" s="220">
        <f>SUBTOTAL(9,E10:E48)</f>
        <v>644994.44999999995</v>
      </c>
      <c r="F50" s="25"/>
      <c r="G50" s="308"/>
      <c r="H50" s="308"/>
      <c r="I50" s="625">
        <f>SUBTOTAL(9,I10:I48)</f>
        <v>4765470.5567294015</v>
      </c>
      <c r="J50" s="582">
        <f>SUBTOTAL(9,J10:J48)</f>
        <v>-61950565.520348772</v>
      </c>
      <c r="K50" s="244"/>
      <c r="L50" s="582">
        <f>SUBTOTAL(9,L10:L48)</f>
        <v>0</v>
      </c>
    </row>
    <row r="51" spans="1:12" ht="15.75" thickTop="1"/>
  </sheetData>
  <sheetProtection password="82A0" sheet="1" objects="1" scenarios="1"/>
  <mergeCells count="1">
    <mergeCell ref="C6:L6"/>
  </mergeCells>
  <pageMargins left="0.7" right="0.7" top="0.75" bottom="0.75" header="0.3" footer="0.3"/>
  <pageSetup scale="52"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pageSetUpPr fitToPage="1"/>
  </sheetPr>
  <dimension ref="B1:K52"/>
  <sheetViews>
    <sheetView showGridLines="0" zoomScale="80" zoomScaleNormal="80" zoomScaleSheetLayoutView="90" workbookViewId="0">
      <pane xSplit="3" ySplit="5" topLeftCell="D6" activePane="bottomRight" state="frozen"/>
      <selection activeCell="C18" sqref="C18"/>
      <selection pane="topRight" activeCell="C18" sqref="C18"/>
      <selection pane="bottomLeft" activeCell="C18" sqref="C18"/>
      <selection pane="bottomRight" activeCell="B48" sqref="B48"/>
    </sheetView>
  </sheetViews>
  <sheetFormatPr baseColWidth="10" defaultColWidth="9.140625" defaultRowHeight="14.25"/>
  <cols>
    <col min="1" max="1" width="1.42578125" style="35" customWidth="1"/>
    <col min="2" max="2" width="18.28515625" style="232" customWidth="1"/>
    <col min="3" max="3" width="50.42578125" style="232" customWidth="1"/>
    <col min="4" max="4" width="17.7109375" style="35" customWidth="1"/>
    <col min="5" max="5" width="13.5703125" style="35" customWidth="1"/>
    <col min="6" max="6" width="7.85546875" style="35" customWidth="1"/>
    <col min="7" max="7" width="19.42578125" style="35" bestFit="1" customWidth="1"/>
    <col min="8" max="8" width="21.85546875" style="35" bestFit="1" customWidth="1"/>
    <col min="9" max="11" width="21.85546875" style="35" customWidth="1"/>
    <col min="12" max="16384" width="9.140625" style="35"/>
  </cols>
  <sheetData>
    <row r="1" spans="2:11" s="37" customFormat="1" ht="15.75" thickBot="1">
      <c r="B1" s="243" t="s">
        <v>187</v>
      </c>
      <c r="C1" s="231"/>
      <c r="D1" s="36"/>
      <c r="E1" s="36"/>
      <c r="F1" s="36"/>
      <c r="G1" s="36"/>
      <c r="H1" s="36"/>
      <c r="I1" s="36"/>
      <c r="J1" s="36"/>
      <c r="K1" s="36"/>
    </row>
    <row r="3" spans="2:11" ht="27" customHeight="1">
      <c r="B3" s="649" t="str">
        <f>B1</f>
        <v>Recycled content credit</v>
      </c>
      <c r="C3" s="650"/>
      <c r="D3" s="650"/>
      <c r="E3" s="650"/>
      <c r="F3" s="650"/>
      <c r="G3" s="650"/>
      <c r="H3" s="650"/>
      <c r="I3" s="650"/>
      <c r="J3" s="650"/>
      <c r="K3" s="650"/>
    </row>
    <row r="4" spans="2:11" s="256" customFormat="1" ht="30" customHeight="1">
      <c r="B4" s="254" t="str">
        <f>'Executive Summary'!A7</f>
        <v>CLASS</v>
      </c>
      <c r="C4" s="254" t="str">
        <f>'Executive Summary'!B7</f>
        <v>Material</v>
      </c>
      <c r="D4" s="632" t="s">
        <v>188</v>
      </c>
      <c r="E4" s="663" t="s">
        <v>189</v>
      </c>
      <c r="F4" s="664"/>
      <c r="G4" s="665"/>
      <c r="H4" s="255" t="str">
        <f>'Executive Summary'!C7</f>
        <v>Reported quantity
(t)</v>
      </c>
      <c r="I4" s="571" t="s">
        <v>193</v>
      </c>
      <c r="J4" s="571" t="s">
        <v>194</v>
      </c>
      <c r="K4" s="571" t="s">
        <v>195</v>
      </c>
    </row>
    <row r="5" spans="2:11" ht="15">
      <c r="B5" s="233" t="str">
        <f>'Executive Summary'!A8</f>
        <v>PRINTED MATTER</v>
      </c>
      <c r="C5" s="233"/>
      <c r="D5" s="10"/>
      <c r="E5" s="84" t="s">
        <v>190</v>
      </c>
      <c r="F5" s="82" t="s">
        <v>191</v>
      </c>
      <c r="G5" s="85" t="s">
        <v>192</v>
      </c>
      <c r="H5" s="82"/>
      <c r="I5" s="82"/>
      <c r="J5" s="82"/>
      <c r="K5" s="82"/>
    </row>
    <row r="6" spans="2:11">
      <c r="B6" s="238"/>
      <c r="C6" s="37" t="str">
        <f>INDEX(ListeMatières,1)</f>
        <v>Newsprint inserts and circulars</v>
      </c>
      <c r="D6" s="413" t="s">
        <v>196</v>
      </c>
      <c r="E6" s="291">
        <f t="shared" ref="E6:E11" si="0">TonnageCrédit</f>
        <v>0.15</v>
      </c>
      <c r="F6" s="414">
        <v>7.4999999999999997E-2</v>
      </c>
      <c r="G6" s="298">
        <f>IF(D6 = $B$52,IF(F6="",E6,F6),0)</f>
        <v>7.4999999999999997E-2</v>
      </c>
      <c r="H6" s="144">
        <f>INDEX(tblMatières[Reported quantity (tonnes)],MATCH($C6,tblMatières[Material],0))</f>
        <v>100503.348</v>
      </c>
      <c r="I6" s="572">
        <f>SUM(Fees!H11:L11)/'Credit recycled content'!H6</f>
        <v>158.03778192611469</v>
      </c>
      <c r="J6" s="572">
        <f t="shared" ref="J6:J11" si="1">I6 / (1 - G6 * RabaisCrédit)</f>
        <v>160.44444865595401</v>
      </c>
      <c r="K6" s="629">
        <f>(J6-I6)*H6</f>
        <v>241878.06386906272</v>
      </c>
    </row>
    <row r="7" spans="2:11">
      <c r="B7" s="238"/>
      <c r="C7" s="37" t="str">
        <f>INDEX(ListeMatières,2)</f>
        <v>Catalogues and publications</v>
      </c>
      <c r="D7" s="413" t="s">
        <v>196</v>
      </c>
      <c r="E7" s="291">
        <f t="shared" si="0"/>
        <v>0.15</v>
      </c>
      <c r="F7" s="414">
        <v>7.4999999999999997E-2</v>
      </c>
      <c r="G7" s="298">
        <f t="shared" ref="G7:G11" si="2">IF(D7 = $B$52,IF(F7="",E7,F7),0)</f>
        <v>7.4999999999999997E-2</v>
      </c>
      <c r="H7" s="144">
        <f>INDEX(tblMatières[Reported quantity (tonnes)],MATCH($C7,tblMatières[Material],0))</f>
        <v>16909.731</v>
      </c>
      <c r="I7" s="572">
        <f>SUM(Fees!$H$12:$L$16)/SUM(Fees!$G$12:$G$16)</f>
        <v>229.37100016378258</v>
      </c>
      <c r="J7" s="572">
        <f t="shared" si="1"/>
        <v>232.86395955713968</v>
      </c>
      <c r="K7" s="629">
        <f t="shared" ref="K7:K11" si="3">(J7-I7)*H7</f>
        <v>59065.003735591694</v>
      </c>
    </row>
    <row r="8" spans="2:11">
      <c r="B8" s="238"/>
      <c r="C8" s="37" t="str">
        <f>INDEX(ListeMatières,3)</f>
        <v>Magazines</v>
      </c>
      <c r="D8" s="413" t="s">
        <v>196</v>
      </c>
      <c r="E8" s="291">
        <f t="shared" si="0"/>
        <v>0.15</v>
      </c>
      <c r="F8" s="414">
        <v>7.4999999999999997E-2</v>
      </c>
      <c r="G8" s="298">
        <f t="shared" si="2"/>
        <v>7.4999999999999997E-2</v>
      </c>
      <c r="H8" s="144">
        <f>INDEX(tblMatières[Reported quantity (tonnes)],MATCH($C8,tblMatières[Material],0))</f>
        <v>10816.571</v>
      </c>
      <c r="I8" s="572">
        <f>I7</f>
        <v>229.37100016378258</v>
      </c>
      <c r="J8" s="572">
        <f t="shared" si="1"/>
        <v>232.86395955713968</v>
      </c>
      <c r="K8" s="629">
        <f t="shared" si="3"/>
        <v>37781.843278363966</v>
      </c>
    </row>
    <row r="9" spans="2:11">
      <c r="B9" s="238"/>
      <c r="C9" s="37" t="str">
        <f>INDEX(ListeMatières,4)</f>
        <v>Telephone books</v>
      </c>
      <c r="D9" s="413" t="s">
        <v>196</v>
      </c>
      <c r="E9" s="291">
        <f t="shared" si="0"/>
        <v>0.15</v>
      </c>
      <c r="F9" s="414">
        <v>7.4999999999999997E-2</v>
      </c>
      <c r="G9" s="298">
        <f t="shared" si="2"/>
        <v>7.4999999999999997E-2</v>
      </c>
      <c r="H9" s="144">
        <f>INDEX(tblMatières[Reported quantity (tonnes)],MATCH($C9,tblMatières[Material],0))</f>
        <v>1956.9110000000001</v>
      </c>
      <c r="I9" s="572">
        <f>I8</f>
        <v>229.37100016378258</v>
      </c>
      <c r="J9" s="572">
        <f t="shared" si="1"/>
        <v>232.86395955713968</v>
      </c>
      <c r="K9" s="629">
        <f t="shared" si="3"/>
        <v>6835.4106594138302</v>
      </c>
    </row>
    <row r="10" spans="2:11">
      <c r="B10" s="238"/>
      <c r="C10" s="37" t="str">
        <f>INDEX(ListeMatières,5)</f>
        <v>Paper for general use</v>
      </c>
      <c r="D10" s="413" t="s">
        <v>196</v>
      </c>
      <c r="E10" s="291">
        <f t="shared" si="0"/>
        <v>0.15</v>
      </c>
      <c r="F10" s="414">
        <v>7.4999999999999997E-2</v>
      </c>
      <c r="G10" s="298">
        <f t="shared" si="2"/>
        <v>7.4999999999999997E-2</v>
      </c>
      <c r="H10" s="144">
        <f>INDEX(tblMatières[Reported quantity (tonnes)],MATCH($C10,tblMatières[Material],0))</f>
        <v>4514.6930000000002</v>
      </c>
      <c r="I10" s="572">
        <f>I9</f>
        <v>229.37100016378258</v>
      </c>
      <c r="J10" s="572">
        <f t="shared" si="1"/>
        <v>232.86395955713968</v>
      </c>
      <c r="K10" s="629">
        <f t="shared" si="3"/>
        <v>15769.639322473533</v>
      </c>
    </row>
    <row r="11" spans="2:11">
      <c r="B11" s="238"/>
      <c r="C11" s="37" t="str">
        <f>INDEX(ListeMatières,6)</f>
        <v>Other printed matter</v>
      </c>
      <c r="D11" s="413" t="s">
        <v>196</v>
      </c>
      <c r="E11" s="291">
        <f t="shared" si="0"/>
        <v>0.15</v>
      </c>
      <c r="F11" s="414">
        <v>7.4999999999999997E-2</v>
      </c>
      <c r="G11" s="298">
        <f t="shared" si="2"/>
        <v>7.4999999999999997E-2</v>
      </c>
      <c r="H11" s="144">
        <f>INDEX(tblMatières[Reported quantity (tonnes)],MATCH($C11,tblMatières[Material],0))</f>
        <v>26543.002</v>
      </c>
      <c r="I11" s="572">
        <f>I10</f>
        <v>229.37100016378258</v>
      </c>
      <c r="J11" s="572">
        <f t="shared" si="1"/>
        <v>232.86395955713968</v>
      </c>
      <c r="K11" s="629">
        <f t="shared" si="3"/>
        <v>92713.628163796209</v>
      </c>
    </row>
    <row r="12" spans="2:11" ht="15.75" thickBot="1">
      <c r="B12" s="234" t="str">
        <f>'Executive Summary'!A15</f>
        <v>TOTAL - PRINTED MATTER</v>
      </c>
      <c r="C12" s="234"/>
      <c r="D12" s="20"/>
      <c r="E12" s="292"/>
      <c r="F12" s="293"/>
      <c r="G12" s="299"/>
      <c r="H12" s="21">
        <f>SUBTOTAL(9,H6:H11)</f>
        <v>161244.25599999999</v>
      </c>
      <c r="I12" s="21"/>
      <c r="J12" s="21"/>
      <c r="K12" s="587">
        <f>SUBTOTAL(9,K6:K11)</f>
        <v>454043.589028702</v>
      </c>
    </row>
    <row r="13" spans="2:11">
      <c r="B13" s="238"/>
      <c r="C13" s="238"/>
      <c r="D13" s="66"/>
      <c r="E13" s="291"/>
      <c r="F13" s="294"/>
      <c r="G13" s="300"/>
      <c r="H13" s="144"/>
      <c r="I13" s="144"/>
      <c r="J13" s="144"/>
      <c r="K13" s="588"/>
    </row>
    <row r="14" spans="2:11" ht="15">
      <c r="B14" s="233" t="str">
        <f>'Executive Summary'!A17</f>
        <v>CONTAINERS AND PACKAGING</v>
      </c>
      <c r="C14" s="235"/>
      <c r="D14" s="11"/>
      <c r="E14" s="295"/>
      <c r="F14" s="296"/>
      <c r="G14" s="301"/>
      <c r="H14" s="219"/>
      <c r="I14" s="219"/>
      <c r="J14" s="219"/>
      <c r="K14" s="589"/>
    </row>
    <row r="15" spans="2:11">
      <c r="B15" s="238" t="str">
        <f>'Executive Summary'!A18</f>
        <v>Paperboard</v>
      </c>
      <c r="C15" s="37" t="str">
        <f>INDEX(ListeMatières,7)</f>
        <v>Corrugated cardboard</v>
      </c>
      <c r="D15" s="413" t="s">
        <v>197</v>
      </c>
      <c r="E15" s="291">
        <f t="shared" ref="E15:E21" si="4">TonnageCrédit</f>
        <v>0.15</v>
      </c>
      <c r="F15" s="415"/>
      <c r="G15" s="300">
        <f t="shared" ref="G15:G21" si="5">IF(D15 = $B$52,IF(F15="",E15,F15),0)</f>
        <v>0</v>
      </c>
      <c r="H15" s="144">
        <f>INDEX(tblMatières[Reported quantity (tonnes)],MATCH($C15,tblMatières[Material],0))</f>
        <v>57170.796000000002</v>
      </c>
      <c r="I15" s="572">
        <f>SUM(Fees!$H$20:$L$22)/SUM(Fees!$G$20:$G$22)</f>
        <v>200.73350835349854</v>
      </c>
      <c r="J15" s="572">
        <f t="shared" ref="J15:J21" si="6">I15 / (1 - G15 * RabaisCrédit)</f>
        <v>200.73350835349854</v>
      </c>
      <c r="K15" s="629">
        <f t="shared" ref="K15:K21" si="7">(J15-I15)*H15</f>
        <v>0</v>
      </c>
    </row>
    <row r="16" spans="2:11">
      <c r="B16" s="238"/>
      <c r="C16" s="37" t="str">
        <f>INDEX(ListeMatières,8)</f>
        <v>Kraft paper shopping bags</v>
      </c>
      <c r="D16" s="413" t="s">
        <v>196</v>
      </c>
      <c r="E16" s="291">
        <f t="shared" si="4"/>
        <v>0.15</v>
      </c>
      <c r="F16" s="415">
        <v>0</v>
      </c>
      <c r="G16" s="300">
        <f t="shared" si="5"/>
        <v>0</v>
      </c>
      <c r="H16" s="144">
        <f>INDEX(tblMatières[Reported quantity (tonnes)],MATCH($C16,tblMatières[Material],0))</f>
        <v>2779.5329999999999</v>
      </c>
      <c r="I16" s="572">
        <f>I15</f>
        <v>200.73350835349854</v>
      </c>
      <c r="J16" s="572">
        <f t="shared" si="6"/>
        <v>200.73350835349854</v>
      </c>
      <c r="K16" s="629">
        <f t="shared" si="7"/>
        <v>0</v>
      </c>
    </row>
    <row r="17" spans="2:11">
      <c r="B17" s="238"/>
      <c r="C17" s="37" t="str">
        <f>INDEX(ListeMatières,9)</f>
        <v>Kraft paper packaging</v>
      </c>
      <c r="D17" s="413" t="s">
        <v>196</v>
      </c>
      <c r="E17" s="291">
        <f t="shared" si="4"/>
        <v>0.15</v>
      </c>
      <c r="F17" s="415">
        <v>0</v>
      </c>
      <c r="G17" s="300">
        <f t="shared" si="5"/>
        <v>0</v>
      </c>
      <c r="H17" s="144">
        <f>INDEX(tblMatières[Reported quantity (tonnes)],MATCH($C17,tblMatières[Material],0))</f>
        <v>311.67700000000002</v>
      </c>
      <c r="I17" s="572">
        <f>I15</f>
        <v>200.73350835349854</v>
      </c>
      <c r="J17" s="572">
        <f t="shared" si="6"/>
        <v>200.73350835349854</v>
      </c>
      <c r="K17" s="629">
        <f t="shared" si="7"/>
        <v>0</v>
      </c>
    </row>
    <row r="18" spans="2:11">
      <c r="B18" s="238"/>
      <c r="C18" s="37" t="str">
        <f>INDEX(ListeMatières,10)</f>
        <v>Boxboard / Other paper packaging</v>
      </c>
      <c r="D18" s="413" t="s">
        <v>197</v>
      </c>
      <c r="E18" s="291">
        <f t="shared" si="4"/>
        <v>0.15</v>
      </c>
      <c r="F18" s="415"/>
      <c r="G18" s="300">
        <f t="shared" si="5"/>
        <v>0</v>
      </c>
      <c r="H18" s="144">
        <f>INDEX(tblMatières[Reported quantity (tonnes)],MATCH($C18,tblMatières[Material],0))</f>
        <v>87558.263999999996</v>
      </c>
      <c r="I18" s="572">
        <f>SUM(Fees!H23:L23)/H18</f>
        <v>199.2372305227444</v>
      </c>
      <c r="J18" s="572">
        <f t="shared" si="6"/>
        <v>199.2372305227444</v>
      </c>
      <c r="K18" s="629">
        <f t="shared" si="7"/>
        <v>0</v>
      </c>
    </row>
    <row r="19" spans="2:11">
      <c r="B19" s="238"/>
      <c r="C19" s="37" t="str">
        <f>INDEX(ListeMatières,11)</f>
        <v>Gable-top containers</v>
      </c>
      <c r="D19" s="413" t="s">
        <v>197</v>
      </c>
      <c r="E19" s="291">
        <f t="shared" si="4"/>
        <v>0.15</v>
      </c>
      <c r="F19" s="415"/>
      <c r="G19" s="300">
        <f t="shared" si="5"/>
        <v>0</v>
      </c>
      <c r="H19" s="144">
        <f>INDEX(tblMatières[Reported quantity (tonnes)],MATCH($C19,tblMatières[Material],0))</f>
        <v>12195.59</v>
      </c>
      <c r="I19" s="572">
        <f>SUM(Fees!H24:L24)/H19</f>
        <v>203.46649444998215</v>
      </c>
      <c r="J19" s="572">
        <f t="shared" si="6"/>
        <v>203.46649444998215</v>
      </c>
      <c r="K19" s="629">
        <f t="shared" si="7"/>
        <v>0</v>
      </c>
    </row>
    <row r="20" spans="2:11">
      <c r="B20" s="238"/>
      <c r="C20" s="37" t="str">
        <f>INDEX(ListeMatières,12)</f>
        <v>Paper laminants</v>
      </c>
      <c r="D20" s="413" t="s">
        <v>196</v>
      </c>
      <c r="E20" s="291">
        <f t="shared" si="4"/>
        <v>0.15</v>
      </c>
      <c r="F20" s="415">
        <v>0</v>
      </c>
      <c r="G20" s="300">
        <f t="shared" si="5"/>
        <v>0</v>
      </c>
      <c r="H20" s="144">
        <f>INDEX(tblMatières[Reported quantity (tonnes)],MATCH($C20,tblMatières[Material],0))</f>
        <v>12555.716</v>
      </c>
      <c r="I20" s="572">
        <f>SUM(Fees!H25:L25)/H20</f>
        <v>269.61553283833138</v>
      </c>
      <c r="J20" s="572">
        <f t="shared" si="6"/>
        <v>269.61553283833138</v>
      </c>
      <c r="K20" s="629">
        <f t="shared" si="7"/>
        <v>0</v>
      </c>
    </row>
    <row r="21" spans="2:11">
      <c r="B21" s="238"/>
      <c r="C21" s="37" t="str">
        <f>INDEX(ListeMatières,13)</f>
        <v>Aseptic containers</v>
      </c>
      <c r="D21" s="413" t="s">
        <v>197</v>
      </c>
      <c r="E21" s="291">
        <f t="shared" si="4"/>
        <v>0.15</v>
      </c>
      <c r="F21" s="415"/>
      <c r="G21" s="300">
        <f t="shared" si="5"/>
        <v>0</v>
      </c>
      <c r="H21" s="144">
        <f>INDEX(tblMatières[Reported quantity (tonnes)],MATCH($C21,tblMatières[Material],0))</f>
        <v>6206.1570000000002</v>
      </c>
      <c r="I21" s="572">
        <f>SUM(Fees!H26:L26)/H21</f>
        <v>240.93889635336086</v>
      </c>
      <c r="J21" s="572">
        <f t="shared" si="6"/>
        <v>240.93889635336086</v>
      </c>
      <c r="K21" s="629">
        <f t="shared" si="7"/>
        <v>0</v>
      </c>
    </row>
    <row r="22" spans="2:11" ht="15">
      <c r="B22" s="233" t="str">
        <f>'Executive Summary'!A25</f>
        <v>TOTAL - Paperboard</v>
      </c>
      <c r="C22" s="233"/>
      <c r="D22" s="10"/>
      <c r="E22" s="84"/>
      <c r="F22" s="297"/>
      <c r="G22" s="85"/>
      <c r="H22" s="22">
        <f>SUBTOTAL(9,H15:H21)</f>
        <v>178777.73300000001</v>
      </c>
      <c r="I22" s="22"/>
      <c r="J22" s="22"/>
      <c r="K22" s="590">
        <f>SUBTOTAL(9,K15:K21)</f>
        <v>0</v>
      </c>
    </row>
    <row r="23" spans="2:11">
      <c r="B23" s="238" t="str">
        <f>'Executive Summary'!A26</f>
        <v>Plastic</v>
      </c>
      <c r="C23" s="37" t="str">
        <f>INDEX(ListeMatières,14)</f>
        <v>PET bottles</v>
      </c>
      <c r="D23" s="413" t="s">
        <v>196</v>
      </c>
      <c r="E23" s="291">
        <f t="shared" ref="E23:E33" si="8">TonnageCrédit</f>
        <v>0.15</v>
      </c>
      <c r="F23" s="414">
        <v>7.4999999999999997E-2</v>
      </c>
      <c r="G23" s="298">
        <f t="shared" ref="G23:G33" si="9">IF(D23 = $B$52,IF(F23="",E23,F23),0)</f>
        <v>7.4999999999999997E-2</v>
      </c>
      <c r="H23" s="144">
        <f>INDEX(tblMatières[Reported quantity (tonnes)],MATCH($C23,tblMatières[Material],0))</f>
        <v>23176.743999999999</v>
      </c>
      <c r="I23" s="572">
        <f>SUM(Fees!$H$28:$L$28)/(Fees!$G$28+Fees!$G$36)</f>
        <v>268.56441845037267</v>
      </c>
      <c r="J23" s="572">
        <f t="shared" ref="J23:J33" si="10">I23 / (1 - G23 * RabaisCrédit)</f>
        <v>272.65423192931235</v>
      </c>
      <c r="K23" s="629">
        <f t="shared" ref="K23:K33" si="11">(J23-I23)*H23</f>
        <v>94788.560009134235</v>
      </c>
    </row>
    <row r="24" spans="2:11">
      <c r="B24" s="238"/>
      <c r="C24" s="37" t="str">
        <f>INDEX(ListeMatières,15)</f>
        <v>HDPE bottles</v>
      </c>
      <c r="D24" s="413" t="s">
        <v>196</v>
      </c>
      <c r="E24" s="291">
        <f t="shared" si="8"/>
        <v>0.15</v>
      </c>
      <c r="F24" s="415">
        <v>0</v>
      </c>
      <c r="G24" s="300">
        <f t="shared" si="9"/>
        <v>0</v>
      </c>
      <c r="H24" s="144">
        <f>INDEX(tblMatières[Reported quantity (tonnes)],MATCH($C24,tblMatières[Material],0))</f>
        <v>16609.435000000001</v>
      </c>
      <c r="I24" s="572">
        <f>SUM(Fees!H29:L29)/H24</f>
        <v>171.55935476614587</v>
      </c>
      <c r="J24" s="572">
        <f t="shared" si="10"/>
        <v>171.55935476614587</v>
      </c>
      <c r="K24" s="629">
        <f t="shared" si="11"/>
        <v>0</v>
      </c>
    </row>
    <row r="25" spans="2:11">
      <c r="B25" s="238"/>
      <c r="C25" s="37" t="str">
        <f>INDEX(ListeMatières,16)</f>
        <v>Plastic laminants</v>
      </c>
      <c r="D25" s="413" t="s">
        <v>197</v>
      </c>
      <c r="E25" s="291">
        <f t="shared" si="8"/>
        <v>0.15</v>
      </c>
      <c r="F25" s="415"/>
      <c r="G25" s="300">
        <f t="shared" si="9"/>
        <v>0</v>
      </c>
      <c r="H25" s="144">
        <f>INDEX(tblMatières[Reported quantity (tonnes)],MATCH($C25,tblMatières[Material],0))</f>
        <v>12064.946</v>
      </c>
      <c r="I25" s="572">
        <f>SUM(Fees!$H$30:$L$32)/SUM(Fees!$G$30:$G$32)</f>
        <v>487.1755346070475</v>
      </c>
      <c r="J25" s="572">
        <f t="shared" si="10"/>
        <v>487.1755346070475</v>
      </c>
      <c r="K25" s="629">
        <f t="shared" si="11"/>
        <v>0</v>
      </c>
    </row>
    <row r="26" spans="2:11">
      <c r="B26" s="238"/>
      <c r="C26" s="37" t="str">
        <f>INDEX(ListeMatières,17)</f>
        <v>HDPE and LDPE plastic film</v>
      </c>
      <c r="D26" s="413" t="s">
        <v>197</v>
      </c>
      <c r="E26" s="291">
        <f t="shared" si="8"/>
        <v>0.15</v>
      </c>
      <c r="F26" s="415"/>
      <c r="G26" s="300">
        <f t="shared" si="9"/>
        <v>0</v>
      </c>
      <c r="H26" s="144">
        <f>INDEX(tblMatières[Reported quantity (tonnes)],MATCH($C26,tblMatières[Material],0))</f>
        <v>21920.366999999998</v>
      </c>
      <c r="I26" s="572">
        <f>I25</f>
        <v>487.1755346070475</v>
      </c>
      <c r="J26" s="572">
        <f t="shared" si="10"/>
        <v>487.1755346070475</v>
      </c>
      <c r="K26" s="629">
        <f t="shared" si="11"/>
        <v>0</v>
      </c>
    </row>
    <row r="27" spans="2:11">
      <c r="B27" s="238"/>
      <c r="C27" s="37" t="str">
        <f>INDEX(ListeMatières,18)</f>
        <v>HDPE and LDPE plastic shopping bags</v>
      </c>
      <c r="D27" s="413" t="s">
        <v>197</v>
      </c>
      <c r="E27" s="291">
        <f t="shared" si="8"/>
        <v>0.15</v>
      </c>
      <c r="F27" s="415"/>
      <c r="G27" s="300">
        <f t="shared" si="9"/>
        <v>0</v>
      </c>
      <c r="H27" s="144">
        <f>INDEX(tblMatières[Reported quantity (tonnes)],MATCH($C27,tblMatières[Material],0))</f>
        <v>9207.6</v>
      </c>
      <c r="I27" s="572">
        <f>I25</f>
        <v>487.1755346070475</v>
      </c>
      <c r="J27" s="572">
        <f t="shared" si="10"/>
        <v>487.1755346070475</v>
      </c>
      <c r="K27" s="629">
        <f t="shared" si="11"/>
        <v>0</v>
      </c>
    </row>
    <row r="28" spans="2:11">
      <c r="B28" s="238"/>
      <c r="C28" s="37" t="str">
        <f>INDEX(ListeMatières,19)</f>
        <v>Expanded polystyrene food</v>
      </c>
      <c r="D28" s="413" t="s">
        <v>197</v>
      </c>
      <c r="E28" s="291">
        <f t="shared" si="8"/>
        <v>0.15</v>
      </c>
      <c r="F28" s="415"/>
      <c r="G28" s="300">
        <f t="shared" si="9"/>
        <v>0</v>
      </c>
      <c r="H28" s="144">
        <f>INDEX(tblMatières[Reported quantity (tonnes)],MATCH($C28,tblMatières[Material],0))</f>
        <v>4326.0749999999998</v>
      </c>
      <c r="I28" s="572">
        <f>SUM(Fees!H33:L35)/(SUM(Fees!G33:G35) + Fees!G37)</f>
        <v>752.36238389153277</v>
      </c>
      <c r="J28" s="572">
        <f t="shared" si="10"/>
        <v>752.36238389153277</v>
      </c>
      <c r="K28" s="629">
        <f t="shared" si="11"/>
        <v>0</v>
      </c>
    </row>
    <row r="29" spans="2:11">
      <c r="B29" s="238"/>
      <c r="C29" s="37" t="str">
        <f>INDEX(ListeMatières,20)</f>
        <v>Expanded polystyrene protection</v>
      </c>
      <c r="D29" s="413" t="s">
        <v>197</v>
      </c>
      <c r="E29" s="291">
        <f t="shared" si="8"/>
        <v>0.15</v>
      </c>
      <c r="F29" s="415"/>
      <c r="G29" s="300">
        <f t="shared" si="9"/>
        <v>0</v>
      </c>
      <c r="H29" s="144">
        <f>INDEX(tblMatières[Reported quantity (tonnes)],MATCH($C29,tblMatières[Material],0))</f>
        <v>1850.1969999999999</v>
      </c>
      <c r="I29" s="572">
        <f>I28</f>
        <v>752.36238389153277</v>
      </c>
      <c r="J29" s="572">
        <f t="shared" si="10"/>
        <v>752.36238389153277</v>
      </c>
      <c r="K29" s="629">
        <f t="shared" si="11"/>
        <v>0</v>
      </c>
    </row>
    <row r="30" spans="2:11">
      <c r="B30" s="238"/>
      <c r="C30" s="37" t="str">
        <f>INDEX(ListeMatières,21)</f>
        <v>Non-expanded polystyrene</v>
      </c>
      <c r="D30" s="413" t="s">
        <v>197</v>
      </c>
      <c r="E30" s="291">
        <f t="shared" si="8"/>
        <v>0.15</v>
      </c>
      <c r="F30" s="415"/>
      <c r="G30" s="300">
        <f t="shared" si="9"/>
        <v>0</v>
      </c>
      <c r="H30" s="144">
        <f>INDEX(tblMatières[Reported quantity (tonnes)],MATCH($C30,tblMatières[Material],0))</f>
        <v>5060.2809999999999</v>
      </c>
      <c r="I30" s="572">
        <f>I28</f>
        <v>752.36238389153277</v>
      </c>
      <c r="J30" s="572">
        <f t="shared" si="10"/>
        <v>752.36238389153277</v>
      </c>
      <c r="K30" s="629">
        <f t="shared" si="11"/>
        <v>0</v>
      </c>
    </row>
    <row r="31" spans="2:11">
      <c r="B31" s="238"/>
      <c r="C31" s="37" t="str">
        <f>INDEX(ListeMatières,22)</f>
        <v>PET containers</v>
      </c>
      <c r="D31" s="413" t="s">
        <v>196</v>
      </c>
      <c r="E31" s="291">
        <f t="shared" si="8"/>
        <v>0.15</v>
      </c>
      <c r="F31" s="414">
        <v>7.4999999999999997E-2</v>
      </c>
      <c r="G31" s="298">
        <f t="shared" si="9"/>
        <v>7.4999999999999997E-2</v>
      </c>
      <c r="H31" s="144">
        <f>INDEX(tblMatières[Reported quantity (tonnes)],MATCH($C31,tblMatières[Material],0))</f>
        <v>7067.826</v>
      </c>
      <c r="I31" s="572">
        <f>I23</f>
        <v>268.56441845037267</v>
      </c>
      <c r="J31" s="572">
        <f t="shared" si="10"/>
        <v>272.65423192931235</v>
      </c>
      <c r="K31" s="629">
        <f t="shared" si="11"/>
        <v>28906.090041600288</v>
      </c>
    </row>
    <row r="32" spans="2:11">
      <c r="B32" s="238"/>
      <c r="C32" s="37" t="str">
        <f>INDEX(ListeMatières,23)</f>
        <v>Polylactic acid (PLA) and other degradable plastics</v>
      </c>
      <c r="D32" s="413" t="s">
        <v>197</v>
      </c>
      <c r="E32" s="291">
        <f t="shared" si="8"/>
        <v>0.15</v>
      </c>
      <c r="F32" s="415"/>
      <c r="G32" s="300">
        <f t="shared" si="9"/>
        <v>0</v>
      </c>
      <c r="H32" s="144">
        <f>INDEX(tblMatières[Reported quantity (tonnes)],MATCH($C32,tblMatières[Material],0))</f>
        <v>88.733999999999995</v>
      </c>
      <c r="I32" s="572">
        <f>I28</f>
        <v>752.36238389153277</v>
      </c>
      <c r="J32" s="572">
        <f t="shared" si="10"/>
        <v>752.36238389153277</v>
      </c>
      <c r="K32" s="629">
        <f t="shared" si="11"/>
        <v>0</v>
      </c>
    </row>
    <row r="33" spans="2:11">
      <c r="B33" s="238"/>
      <c r="C33" s="37" t="str">
        <f>INDEX(ListeMatières,24)</f>
        <v>Other plastics, polymers and polyurethane</v>
      </c>
      <c r="D33" s="413" t="s">
        <v>197</v>
      </c>
      <c r="E33" s="291">
        <f t="shared" si="8"/>
        <v>0.15</v>
      </c>
      <c r="F33" s="415"/>
      <c r="G33" s="300">
        <f t="shared" si="9"/>
        <v>0</v>
      </c>
      <c r="H33" s="144">
        <f>INDEX(tblMatières[Reported quantity (tonnes)],MATCH($C33,tblMatières[Material],0))</f>
        <v>33319.733</v>
      </c>
      <c r="I33" s="572">
        <f>SUM(Fees!H38:L38)/H33</f>
        <v>305.89028200656901</v>
      </c>
      <c r="J33" s="572">
        <f t="shared" si="10"/>
        <v>305.89028200656901</v>
      </c>
      <c r="K33" s="629">
        <f t="shared" si="11"/>
        <v>0</v>
      </c>
    </row>
    <row r="34" spans="2:11" ht="15">
      <c r="B34" s="233" t="str">
        <f>'Executive Summary'!A37</f>
        <v>TOTAL - Plastic</v>
      </c>
      <c r="C34" s="233"/>
      <c r="D34" s="10"/>
      <c r="E34" s="84"/>
      <c r="F34" s="297"/>
      <c r="G34" s="85"/>
      <c r="H34" s="22">
        <f>SUBTOTAL(9,H23:H33)</f>
        <v>134691.93799999999</v>
      </c>
      <c r="I34" s="22"/>
      <c r="J34" s="22"/>
      <c r="K34" s="590">
        <f>SUBTOTAL(9,K23:K33)</f>
        <v>123694.65005073452</v>
      </c>
    </row>
    <row r="35" spans="2:11">
      <c r="B35" s="238" t="str">
        <f>'Executive Summary'!A38</f>
        <v>Aluminium</v>
      </c>
      <c r="C35" s="37" t="str">
        <f>INDEX(ListeMatières,25)</f>
        <v>Aluminium containers for food and beverages</v>
      </c>
      <c r="D35" s="413" t="s">
        <v>197</v>
      </c>
      <c r="E35" s="291">
        <f>TonnageCrédit</f>
        <v>0.15</v>
      </c>
      <c r="F35" s="415"/>
      <c r="G35" s="300">
        <f t="shared" ref="G35:G36" si="12">IF(D35 = $B$52,IF(F35="",E35,F35),0)</f>
        <v>0</v>
      </c>
      <c r="H35" s="144">
        <f>INDEX(tblMatières[Reported quantity (tonnes)],MATCH($C35,tblMatières[Material],0))</f>
        <v>2927.57</v>
      </c>
      <c r="I35" s="572">
        <f>SUM(Fees!H40:L41)/SUM(Fees!G40:G41)</f>
        <v>139.22646756524031</v>
      </c>
      <c r="J35" s="572">
        <f>I35 / (1 - G35 * RabaisCrédit)</f>
        <v>139.22646756524031</v>
      </c>
      <c r="K35" s="629">
        <f t="shared" ref="K35:K36" si="13">(J35-I35)*H35</f>
        <v>0</v>
      </c>
    </row>
    <row r="36" spans="2:11">
      <c r="B36" s="238"/>
      <c r="C36" s="37" t="str">
        <f>INDEX(ListeMatières,26)</f>
        <v>Other aluminium containers and packaging</v>
      </c>
      <c r="D36" s="413" t="s">
        <v>197</v>
      </c>
      <c r="E36" s="291">
        <f>TonnageCrédit</f>
        <v>0.15</v>
      </c>
      <c r="F36" s="415"/>
      <c r="G36" s="300">
        <f t="shared" si="12"/>
        <v>0</v>
      </c>
      <c r="H36" s="144">
        <f>INDEX(tblMatières[Reported quantity (tonnes)],MATCH($C36,tblMatières[Material],0))</f>
        <v>2080.9479999999999</v>
      </c>
      <c r="I36" s="572">
        <f>I35</f>
        <v>139.22646756524031</v>
      </c>
      <c r="J36" s="572">
        <f>I36 / (1 - G36 * RabaisCrédit)</f>
        <v>139.22646756524031</v>
      </c>
      <c r="K36" s="629">
        <f t="shared" si="13"/>
        <v>0</v>
      </c>
    </row>
    <row r="37" spans="2:11" ht="15">
      <c r="B37" s="233" t="str">
        <f>'Executive Summary'!A40</f>
        <v>TOTAL - Aluminium</v>
      </c>
      <c r="C37" s="233"/>
      <c r="D37" s="10"/>
      <c r="E37" s="84"/>
      <c r="F37" s="297"/>
      <c r="G37" s="85"/>
      <c r="H37" s="22">
        <f>SUBTOTAL(9,H35:H36)</f>
        <v>5008.518</v>
      </c>
      <c r="I37" s="22"/>
      <c r="J37" s="22"/>
      <c r="K37" s="590">
        <f>SUBTOTAL(9,K26:K36)</f>
        <v>28906.090041600288</v>
      </c>
    </row>
    <row r="38" spans="2:11">
      <c r="B38" s="238" t="str">
        <f>'Executive Summary'!A41</f>
        <v>Steel</v>
      </c>
      <c r="C38" s="37" t="str">
        <f>INDEX(ListeMatières,27)</f>
        <v>Steel aerosol containers</v>
      </c>
      <c r="D38" s="413" t="s">
        <v>197</v>
      </c>
      <c r="E38" s="291">
        <f>TonnageCrédit</f>
        <v>0.15</v>
      </c>
      <c r="F38" s="415"/>
      <c r="G38" s="300">
        <f t="shared" ref="G38:G39" si="14">IF(D38 = $B$52,IF(F38="",E38,F38),0)</f>
        <v>0</v>
      </c>
      <c r="H38" s="144">
        <f>INDEX(tblMatières[Reported quantity (tonnes)],MATCH($C38,tblMatières[Material],0))</f>
        <v>1674.4069999999999</v>
      </c>
      <c r="I38" s="572">
        <f>SUM(Fees!H43:L44)/SUM(Fees!G43:G44)</f>
        <v>154.89488806231282</v>
      </c>
      <c r="J38" s="572">
        <f>I38 / (1 - G38 * RabaisCrédit)</f>
        <v>154.89488806231282</v>
      </c>
      <c r="K38" s="629">
        <f t="shared" ref="K38:K39" si="15">(J38-I38)*H38</f>
        <v>0</v>
      </c>
    </row>
    <row r="39" spans="2:11">
      <c r="B39" s="238"/>
      <c r="C39" s="37" t="str">
        <f>INDEX(ListeMatières,28)</f>
        <v>Other steel containers</v>
      </c>
      <c r="D39" s="413" t="s">
        <v>197</v>
      </c>
      <c r="E39" s="291">
        <f>TonnageCrédit</f>
        <v>0.15</v>
      </c>
      <c r="F39" s="415"/>
      <c r="G39" s="300">
        <f t="shared" si="14"/>
        <v>0</v>
      </c>
      <c r="H39" s="144">
        <f>INDEX(tblMatières[Reported quantity (tonnes)],MATCH($C39,tblMatières[Material],0))</f>
        <v>26909.557000000001</v>
      </c>
      <c r="I39" s="572">
        <f>I38</f>
        <v>154.89488806231282</v>
      </c>
      <c r="J39" s="572">
        <f>I39 / (1 - G39 * RabaisCrédit)</f>
        <v>154.89488806231282</v>
      </c>
      <c r="K39" s="629">
        <f t="shared" si="15"/>
        <v>0</v>
      </c>
    </row>
    <row r="40" spans="2:11" ht="15">
      <c r="B40" s="233" t="str">
        <f>'Executive Summary'!A43</f>
        <v>TOTAL - Steel</v>
      </c>
      <c r="C40" s="233"/>
      <c r="D40" s="10"/>
      <c r="E40" s="84"/>
      <c r="F40" s="297"/>
      <c r="G40" s="85"/>
      <c r="H40" s="22">
        <f t="shared" ref="H40" si="16">SUBTOTAL(9,H38:H39)</f>
        <v>28583.964</v>
      </c>
      <c r="I40" s="22"/>
      <c r="J40" s="22"/>
      <c r="K40" s="590">
        <f>SUBTOTAL(9,K29:K39)</f>
        <v>28906.090041600288</v>
      </c>
    </row>
    <row r="41" spans="2:11">
      <c r="B41" s="238" t="str">
        <f>'Executive Summary'!A44</f>
        <v>Glass</v>
      </c>
      <c r="C41" s="37" t="str">
        <f>INDEX(ListeMatières,29)</f>
        <v>Clear glass</v>
      </c>
      <c r="D41" s="413" t="s">
        <v>197</v>
      </c>
      <c r="E41" s="291">
        <f>TonnageCrédit</f>
        <v>0.15</v>
      </c>
      <c r="F41" s="415"/>
      <c r="G41" s="300">
        <f t="shared" ref="G41:G42" si="17">IF(D41 = $B$52,IF(F41="",E41,F41),0)</f>
        <v>0</v>
      </c>
      <c r="H41" s="144">
        <f>INDEX(tblMatières[Reported quantity (tonnes)],MATCH($C41,tblMatières[Material],0))</f>
        <v>54262.898999999998</v>
      </c>
      <c r="I41" s="572">
        <f>SUM(Fees!H46:L46)/H41</f>
        <v>145.67119570452221</v>
      </c>
      <c r="J41" s="572">
        <f>I41 / (1 - G41 * RabaisCrédit)</f>
        <v>145.67119570452221</v>
      </c>
      <c r="K41" s="629">
        <f t="shared" ref="K41:K42" si="18">(J41-I41)*H41</f>
        <v>0</v>
      </c>
    </row>
    <row r="42" spans="2:11">
      <c r="B42" s="238"/>
      <c r="C42" s="242" t="str">
        <f>INDEX(ListeMatières,30)</f>
        <v>Coloured glass</v>
      </c>
      <c r="D42" s="413" t="s">
        <v>197</v>
      </c>
      <c r="E42" s="291">
        <f>TonnageCrédit</f>
        <v>0.15</v>
      </c>
      <c r="F42" s="415"/>
      <c r="G42" s="300">
        <f t="shared" si="17"/>
        <v>0</v>
      </c>
      <c r="H42" s="144">
        <f>INDEX(tblMatières[Reported quantity (tonnes)],MATCH($C42,tblMatières[Material],0))</f>
        <v>82425.142000000007</v>
      </c>
      <c r="I42" s="572">
        <f>SUM(Fees!H47:L47)/H42</f>
        <v>141.61006697847276</v>
      </c>
      <c r="J42" s="572">
        <f>I42 / (1 - G42 * RabaisCrédit)</f>
        <v>141.61006697847276</v>
      </c>
      <c r="K42" s="629">
        <f t="shared" si="18"/>
        <v>0</v>
      </c>
    </row>
    <row r="43" spans="2:11" ht="15">
      <c r="B43" s="233" t="str">
        <f>'Executive Summary'!A46</f>
        <v>TOTAL - Glass</v>
      </c>
      <c r="C43" s="233"/>
      <c r="D43" s="10"/>
      <c r="E43" s="43"/>
      <c r="F43" s="88"/>
      <c r="G43" s="51"/>
      <c r="H43" s="22">
        <f t="shared" ref="H43" si="19">SUBTOTAL(9,H41:H42)</f>
        <v>136688.041</v>
      </c>
      <c r="I43" s="22"/>
      <c r="J43" s="22"/>
      <c r="K43" s="590">
        <f>SUBTOTAL(9,K32:K42)</f>
        <v>0</v>
      </c>
    </row>
    <row r="44" spans="2:11" ht="15.75" thickBot="1">
      <c r="B44" s="236" t="str">
        <f>'Executive Summary'!A47</f>
        <v>TOTAL - CONTAINERS AND PACKAGING</v>
      </c>
      <c r="C44" s="236"/>
      <c r="D44" s="23"/>
      <c r="E44" s="56"/>
      <c r="F44" s="183"/>
      <c r="G44" s="52"/>
      <c r="H44" s="229">
        <f>SUBTOTAL(9,H15:H43)</f>
        <v>483750.19400000002</v>
      </c>
      <c r="I44" s="229"/>
      <c r="J44" s="229"/>
      <c r="K44" s="591">
        <f>SUBTOTAL(9,K15:K43)</f>
        <v>123694.65005073452</v>
      </c>
    </row>
    <row r="45" spans="2:11">
      <c r="B45" s="238"/>
      <c r="C45" s="238"/>
      <c r="D45" s="37"/>
      <c r="E45" s="38"/>
      <c r="F45" s="17"/>
      <c r="G45" s="39"/>
      <c r="H45" s="144"/>
      <c r="I45" s="144"/>
      <c r="J45" s="144"/>
      <c r="K45" s="588"/>
    </row>
    <row r="46" spans="2:11" ht="15.75" thickBot="1">
      <c r="B46" s="568" t="str">
        <f>'Executive Summary'!A49</f>
        <v>TOTAL</v>
      </c>
      <c r="C46" s="237"/>
      <c r="D46" s="15"/>
      <c r="E46" s="33"/>
      <c r="F46" s="184"/>
      <c r="G46" s="32"/>
      <c r="H46" s="220">
        <f>SUBTOTAL(9,H6:H44)</f>
        <v>644994.44999999995</v>
      </c>
      <c r="I46" s="220"/>
      <c r="J46" s="220"/>
      <c r="K46" s="592">
        <f>SUBTOTAL(9,K6:K44)</f>
        <v>577738.23907943652</v>
      </c>
    </row>
    <row r="47" spans="2:11" ht="15" thickTop="1"/>
    <row r="48" spans="2:11" ht="17.25">
      <c r="B48" s="232" t="s">
        <v>198</v>
      </c>
    </row>
    <row r="52" spans="2:2">
      <c r="B52" s="232" t="s">
        <v>196</v>
      </c>
    </row>
  </sheetData>
  <sheetProtection password="82A0" sheet="1" objects="1" scenarios="1"/>
  <mergeCells count="2">
    <mergeCell ref="E4:G4"/>
    <mergeCell ref="B3:K3"/>
  </mergeCells>
  <dataValidations count="1">
    <dataValidation type="list" allowBlank="1" showInputMessage="1" showErrorMessage="1" sqref="D6:D11 D15:D21 D41:D42 D35:D36 D38:D39 D23:D33">
      <formula1>"Oui,Non"</formula1>
    </dataValidation>
  </dataValidations>
  <pageMargins left="0.7" right="0.7" top="0.75" bottom="0.75" header="0.3" footer="0.3"/>
  <pageSetup scale="43" fitToHeight="0"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sheetPr>
  <dimension ref="B1:P197"/>
  <sheetViews>
    <sheetView showGridLines="0" zoomScale="80" zoomScaleNormal="80" zoomScaleSheetLayoutView="70" workbookViewId="0">
      <pane xSplit="3" ySplit="9" topLeftCell="D10" activePane="bottomRight" state="frozen"/>
      <selection activeCell="C18" sqref="C18"/>
      <selection pane="topRight" activeCell="C18" sqref="C18"/>
      <selection pane="bottomLeft" activeCell="C18" sqref="C18"/>
      <selection pane="bottomRight" activeCell="D5" sqref="D5"/>
    </sheetView>
  </sheetViews>
  <sheetFormatPr baseColWidth="10" defaultColWidth="9.140625" defaultRowHeight="14.25"/>
  <cols>
    <col min="1" max="1" width="2.5703125" style="37" customWidth="1"/>
    <col min="2" max="2" width="26.5703125" style="3" customWidth="1"/>
    <col min="3" max="3" width="54.28515625" style="3" customWidth="1"/>
    <col min="4" max="4" width="19" style="3" bestFit="1" customWidth="1"/>
    <col min="5" max="5" width="21" style="3" bestFit="1" customWidth="1"/>
    <col min="6" max="6" width="19.140625" style="3" bestFit="1" customWidth="1"/>
    <col min="7" max="7" width="19.42578125" style="3" bestFit="1" customWidth="1"/>
    <col min="8" max="8" width="23" style="35" customWidth="1"/>
    <col min="9" max="9" width="16.42578125" style="35" customWidth="1"/>
    <col min="10" max="10" width="16.28515625" style="35" customWidth="1"/>
    <col min="11" max="11" width="16.7109375" style="35" customWidth="1"/>
    <col min="12" max="13" width="17.140625" style="35" customWidth="1"/>
    <col min="14" max="14" width="19.140625" style="35" customWidth="1"/>
    <col min="15" max="15" width="18.7109375" style="35" customWidth="1"/>
    <col min="16" max="16" width="18.5703125" style="35" bestFit="1" customWidth="1"/>
    <col min="17" max="16384" width="9.140625" style="37"/>
  </cols>
  <sheetData>
    <row r="1" spans="2:16" ht="6.75" customHeight="1">
      <c r="B1" s="35"/>
      <c r="C1" s="35"/>
      <c r="D1" s="35"/>
      <c r="E1" s="35"/>
      <c r="F1" s="35"/>
      <c r="G1" s="35"/>
    </row>
    <row r="2" spans="2:16" ht="18.75" thickBot="1">
      <c r="B2" s="501" t="s">
        <v>199</v>
      </c>
      <c r="C2" s="36"/>
      <c r="D2" s="36"/>
      <c r="E2" s="36"/>
      <c r="F2" s="36"/>
      <c r="G2" s="36"/>
      <c r="H2" s="36"/>
      <c r="I2" s="36"/>
      <c r="J2" s="36"/>
      <c r="K2" s="36"/>
      <c r="L2" s="36"/>
      <c r="M2" s="36"/>
      <c r="N2" s="36"/>
      <c r="O2" s="36"/>
      <c r="P2" s="36"/>
    </row>
    <row r="3" spans="2:16" ht="10.5" customHeight="1" thickBot="1"/>
    <row r="4" spans="2:16" ht="18.75" thickBot="1">
      <c r="B4" s="93" t="str">
        <f>Parameters!B4</f>
        <v>Schedule</v>
      </c>
      <c r="C4" s="245">
        <f>AnnéeTarif</f>
        <v>2015</v>
      </c>
      <c r="D4" s="35"/>
      <c r="E4" s="35"/>
      <c r="F4" s="35"/>
      <c r="G4" s="35"/>
    </row>
    <row r="5" spans="2:16" ht="18.75" thickBot="1">
      <c r="B5" s="93" t="str">
        <f>Parameters!B5</f>
        <v>Scenario</v>
      </c>
      <c r="C5" s="245" t="str">
        <f>Parameters!C5</f>
        <v>Final July 2016</v>
      </c>
      <c r="D5" s="35"/>
      <c r="E5" s="35"/>
      <c r="F5" s="35"/>
      <c r="G5" s="35"/>
    </row>
    <row r="6" spans="2:16" ht="18.75" thickBot="1">
      <c r="B6" s="93" t="str">
        <f>Parameters!B6</f>
        <v>Reference Year</v>
      </c>
      <c r="C6" s="94">
        <f>AnnéeRéf</f>
        <v>2014</v>
      </c>
      <c r="D6" s="92"/>
      <c r="E6" s="92"/>
      <c r="F6" s="92"/>
      <c r="G6" s="35"/>
      <c r="P6" s="526"/>
    </row>
    <row r="7" spans="2:16" s="105" customFormat="1" ht="32.25" customHeight="1">
      <c r="D7" s="666" t="s">
        <v>200</v>
      </c>
      <c r="E7" s="658"/>
      <c r="F7" s="658"/>
      <c r="G7" s="659"/>
      <c r="H7" s="666" t="s">
        <v>206</v>
      </c>
      <c r="I7" s="658"/>
      <c r="J7" s="658"/>
      <c r="K7" s="658"/>
      <c r="L7" s="658"/>
      <c r="M7" s="658"/>
      <c r="N7" s="658"/>
      <c r="O7" s="659"/>
      <c r="P7" s="637" t="s">
        <v>10</v>
      </c>
    </row>
    <row r="8" spans="2:16" ht="60" customHeight="1" thickBot="1">
      <c r="B8" s="42" t="str">
        <f>'Executive Summary'!A7</f>
        <v>CLASS</v>
      </c>
      <c r="C8" s="9" t="str">
        <f>'Executive Summary'!B7</f>
        <v>Material</v>
      </c>
      <c r="D8" s="185" t="str">
        <f>'Executive Summary'!D7</f>
        <v>Generated quantity (t)</v>
      </c>
      <c r="E8" s="169" t="str">
        <f>'Executive Summary'!E7</f>
        <v>Recovered quantity (t)</v>
      </c>
      <c r="F8" s="169" t="str">
        <f>'Executive Summary'!F7</f>
        <v>Eliminated quantity (t)</v>
      </c>
      <c r="G8" s="266" t="str">
        <f>'Executive Summary'!C7</f>
        <v>Reported quantity
(t)</v>
      </c>
      <c r="H8" s="285" t="s">
        <v>179</v>
      </c>
      <c r="I8" s="285" t="s">
        <v>201</v>
      </c>
      <c r="J8" s="285" t="s">
        <v>202</v>
      </c>
      <c r="K8" s="285" t="s">
        <v>203</v>
      </c>
      <c r="L8" s="285" t="s">
        <v>204</v>
      </c>
      <c r="M8" s="285" t="str">
        <f>'Credit recycled content'!K4</f>
        <v>Credit provision</v>
      </c>
      <c r="N8" s="285" t="str">
        <f>Parameters!F47</f>
        <v>Risk and stability fund</v>
      </c>
      <c r="O8" s="285" t="s">
        <v>205</v>
      </c>
      <c r="P8" s="528" t="str">
        <f>'Executive Summary'!I7</f>
        <v>2015 Schedule
($/tonne)</v>
      </c>
    </row>
    <row r="9" spans="2:16" ht="15.75" thickBot="1">
      <c r="B9" s="99"/>
      <c r="C9" s="69" t="s">
        <v>5</v>
      </c>
      <c r="D9" s="70"/>
      <c r="E9" s="71"/>
      <c r="F9" s="71"/>
      <c r="G9" s="72"/>
      <c r="H9" s="71"/>
      <c r="I9" s="188">
        <f>Facteur1</f>
        <v>0.4</v>
      </c>
      <c r="J9" s="189">
        <f>Facteur2</f>
        <v>0.4</v>
      </c>
      <c r="K9" s="145">
        <f>Facteur3</f>
        <v>0.2</v>
      </c>
      <c r="L9" s="71"/>
      <c r="M9" s="71"/>
      <c r="N9" s="71"/>
      <c r="O9" s="72"/>
      <c r="P9" s="73"/>
    </row>
    <row r="10" spans="2:16" ht="15" customHeight="1">
      <c r="B10" s="43" t="str">
        <f>'Executive Summary'!A8</f>
        <v>PRINTED MATTER</v>
      </c>
      <c r="C10" s="11"/>
      <c r="D10" s="104"/>
      <c r="E10" s="79"/>
      <c r="F10" s="79"/>
      <c r="G10" s="103"/>
      <c r="H10" s="111"/>
      <c r="I10" s="79"/>
      <c r="J10" s="79"/>
      <c r="K10" s="186"/>
      <c r="L10" s="125"/>
      <c r="M10" s="125"/>
      <c r="N10" s="125"/>
      <c r="O10" s="614"/>
      <c r="P10" s="529"/>
    </row>
    <row r="11" spans="2:16" ht="15">
      <c r="B11" s="38"/>
      <c r="C11" s="549" t="str">
        <f>INDEX(ListeMatières,1)</f>
        <v>Newsprint inserts and circulars</v>
      </c>
      <c r="D11" s="550">
        <f>INDEX(tblMatières[Generated quantity  
(tonnes)],MATCH($C11,tblMatières[Material],0))</f>
        <v>100503.348</v>
      </c>
      <c r="E11" s="551">
        <f>INDEX(tblMatières[Recovered quantity  (tonnes)],MATCH($C11,tblMatières[Material],0))</f>
        <v>85864.816326250861</v>
      </c>
      <c r="F11" s="551">
        <f t="shared" ref="F11:F16" si="0">D11-E11</f>
        <v>14638.531673749138</v>
      </c>
      <c r="G11" s="552">
        <f>INDEX(tblMatières[Reported quantity (tonnes)],MATCH($C11,tblMatières[Material],0))</f>
        <v>100503.348</v>
      </c>
      <c r="H11" s="553">
        <f>'Admin expenses &amp; R-Q'!G10</f>
        <v>896443.43770314101</v>
      </c>
      <c r="I11" s="553">
        <f>'Factor 1'!H10</f>
        <v>5070423.7836299287</v>
      </c>
      <c r="J11" s="554">
        <f>'Factor 2'!J10</f>
        <v>7490536.0248819366</v>
      </c>
      <c r="K11" s="555">
        <f>'Factor 3'!L10</f>
        <v>2425922.9478534092</v>
      </c>
      <c r="L11" s="556">
        <f>'Fees hike cap'!L10</f>
        <v>0</v>
      </c>
      <c r="M11" s="556">
        <f>'Credit recycled content'!K6</f>
        <v>241878.06386906272</v>
      </c>
      <c r="N11" s="556">
        <f>INDEX(Parameters!$F$48:$F$77,MATCH(C11,ListeMatières,0))</f>
        <v>0</v>
      </c>
      <c r="O11" s="617">
        <f>SUM(H11:N11)</f>
        <v>16125204.257937478</v>
      </c>
      <c r="P11" s="557">
        <f>ROUND(O11/G11,2)</f>
        <v>160.44</v>
      </c>
    </row>
    <row r="12" spans="2:16">
      <c r="B12" s="265"/>
      <c r="C12" s="558" t="str">
        <f>INDEX(ListeMatières,2)</f>
        <v>Catalogues and publications</v>
      </c>
      <c r="D12" s="559">
        <f>INDEX(tblMatières[Generated quantity  
(tonnes)],MATCH($C12,tblMatières[Material],0))</f>
        <v>16909.731</v>
      </c>
      <c r="E12" s="560">
        <f>INDEX(tblMatières[Recovered quantity  (tonnes)],MATCH($C12,tblMatières[Material],0))</f>
        <v>13561.464056479286</v>
      </c>
      <c r="F12" s="560">
        <f t="shared" si="0"/>
        <v>3348.2669435207135</v>
      </c>
      <c r="G12" s="561">
        <f>INDEX(tblMatières[Reported quantity (tonnes)],MATCH($C12,tblMatières[Material],0))</f>
        <v>16909.731</v>
      </c>
      <c r="H12" s="669">
        <f>SUM('Admin expenses &amp; R-Q'!$G$11:$G$15)</f>
        <v>541780.84074104892</v>
      </c>
      <c r="I12" s="671">
        <f>SUM('Factor 1'!$H$11:$H$15)</f>
        <v>6280498.1101462832</v>
      </c>
      <c r="J12" s="673">
        <f>SUM('Factor 2'!$J$11:$J$15)</f>
        <v>3860385.8688942757</v>
      </c>
      <c r="K12" s="667">
        <f>SUM('Factor 3'!$L$11:$L$15)</f>
        <v>3249537.9990346967</v>
      </c>
      <c r="L12" s="681">
        <f>SUM('Fees hike cap'!L11:L15)</f>
        <v>0</v>
      </c>
      <c r="M12" s="681">
        <f>SUM('Credit recycled content'!K7:K11)</f>
        <v>212165.52515963925</v>
      </c>
      <c r="N12" s="675">
        <f>SUM(Parameters!F49:F53)</f>
        <v>0</v>
      </c>
      <c r="O12" s="678">
        <f>SUM(H12:N16)</f>
        <v>14144368.343975943</v>
      </c>
      <c r="P12" s="562">
        <f>ROUND(O12 /SUM($G$12:$G$16),2)</f>
        <v>232.86</v>
      </c>
    </row>
    <row r="13" spans="2:16" ht="15" customHeight="1">
      <c r="B13" s="265"/>
      <c r="C13" s="558" t="str">
        <f>INDEX(ListeMatières,3)</f>
        <v>Magazines</v>
      </c>
      <c r="D13" s="559">
        <f>INDEX(tblMatières[Generated quantity  
(tonnes)],MATCH($C13,tblMatières[Material],0))</f>
        <v>10816.571</v>
      </c>
      <c r="E13" s="560">
        <f>INDEX(tblMatières[Recovered quantity  (tonnes)],MATCH($C13,tblMatières[Material],0))</f>
        <v>9110.2160408458858</v>
      </c>
      <c r="F13" s="560">
        <f t="shared" si="0"/>
        <v>1706.3549591541141</v>
      </c>
      <c r="G13" s="561">
        <f>INDEX(tblMatières[Reported quantity (tonnes)],MATCH($C13,tblMatières[Material],0))</f>
        <v>10816.571</v>
      </c>
      <c r="H13" s="669"/>
      <c r="I13" s="671"/>
      <c r="J13" s="673"/>
      <c r="K13" s="667"/>
      <c r="L13" s="682"/>
      <c r="M13" s="682"/>
      <c r="N13" s="676"/>
      <c r="O13" s="679"/>
      <c r="P13" s="562">
        <f>P12</f>
        <v>232.86</v>
      </c>
    </row>
    <row r="14" spans="2:16" ht="15" customHeight="1">
      <c r="B14" s="265"/>
      <c r="C14" s="558" t="str">
        <f>INDEX(ListeMatières,4)</f>
        <v>Telephone books</v>
      </c>
      <c r="D14" s="559">
        <f>INDEX(tblMatières[Generated quantity  
(tonnes)],MATCH($C14,tblMatières[Material],0))</f>
        <v>1956.9110000000001</v>
      </c>
      <c r="E14" s="560">
        <f>INDEX(tblMatières[Recovered quantity  (tonnes)],MATCH($C14,tblMatières[Material],0))</f>
        <v>1761.6059678635033</v>
      </c>
      <c r="F14" s="560">
        <f t="shared" si="0"/>
        <v>195.30503213649672</v>
      </c>
      <c r="G14" s="561">
        <f>INDEX(tblMatières[Reported quantity (tonnes)],MATCH($C14,tblMatières[Material],0))</f>
        <v>1956.9110000000001</v>
      </c>
      <c r="H14" s="669"/>
      <c r="I14" s="671"/>
      <c r="J14" s="673"/>
      <c r="K14" s="667"/>
      <c r="L14" s="682"/>
      <c r="M14" s="682"/>
      <c r="N14" s="676"/>
      <c r="O14" s="679"/>
      <c r="P14" s="562">
        <f t="shared" ref="P14:P16" si="1">P13</f>
        <v>232.86</v>
      </c>
    </row>
    <row r="15" spans="2:16" ht="15" customHeight="1">
      <c r="B15" s="265"/>
      <c r="C15" s="558" t="str">
        <f>INDEX(ListeMatières,5)</f>
        <v>Paper for general use</v>
      </c>
      <c r="D15" s="559">
        <f>INDEX(tblMatières[Generated quantity  
(tonnes)],MATCH($C15,tblMatières[Material],0))</f>
        <v>4514.6930000000002</v>
      </c>
      <c r="E15" s="560">
        <f>INDEX(tblMatières[Recovered quantity  (tonnes)],MATCH($C15,tblMatières[Material],0))</f>
        <v>2990.2667386915787</v>
      </c>
      <c r="F15" s="560">
        <f t="shared" si="0"/>
        <v>1524.4262613084215</v>
      </c>
      <c r="G15" s="561">
        <f>INDEX(tblMatières[Reported quantity (tonnes)],MATCH($C15,tblMatières[Material],0))</f>
        <v>4514.6930000000002</v>
      </c>
      <c r="H15" s="669"/>
      <c r="I15" s="671"/>
      <c r="J15" s="673"/>
      <c r="K15" s="667"/>
      <c r="L15" s="682"/>
      <c r="M15" s="682"/>
      <c r="N15" s="676"/>
      <c r="O15" s="679"/>
      <c r="P15" s="562">
        <f t="shared" si="1"/>
        <v>232.86</v>
      </c>
    </row>
    <row r="16" spans="2:16" ht="15.75" customHeight="1" thickBot="1">
      <c r="B16" s="539"/>
      <c r="C16" s="540" t="str">
        <f>INDEX(ListeMatières,6)</f>
        <v>Other printed matter</v>
      </c>
      <c r="D16" s="541">
        <f>INDEX(tblMatières[Generated quantity  
(tonnes)],MATCH($C16,tblMatières[Material],0))</f>
        <v>26543.002</v>
      </c>
      <c r="E16" s="542">
        <f>INDEX(tblMatières[Recovered quantity  (tonnes)],MATCH($C16,tblMatières[Material],0))</f>
        <v>15185.286865042328</v>
      </c>
      <c r="F16" s="542">
        <f t="shared" si="0"/>
        <v>11357.715134957672</v>
      </c>
      <c r="G16" s="543">
        <f>INDEX(tblMatières[Reported quantity (tonnes)],MATCH($C16,tblMatières[Material],0))</f>
        <v>26543.002</v>
      </c>
      <c r="H16" s="670"/>
      <c r="I16" s="672"/>
      <c r="J16" s="674"/>
      <c r="K16" s="668"/>
      <c r="L16" s="683"/>
      <c r="M16" s="683"/>
      <c r="N16" s="677"/>
      <c r="O16" s="680"/>
      <c r="P16" s="544">
        <f t="shared" si="1"/>
        <v>232.86</v>
      </c>
    </row>
    <row r="17" spans="2:16" s="6" customFormat="1" ht="16.5" thickTop="1" thickBot="1">
      <c r="B17" s="56" t="str">
        <f>'Executive Summary'!A15</f>
        <v>TOTAL - PRINTED MATTER</v>
      </c>
      <c r="C17" s="23"/>
      <c r="D17" s="537">
        <f>SUBTOTAL(9,D11:D16)</f>
        <v>161244.25599999999</v>
      </c>
      <c r="E17" s="229">
        <f t="shared" ref="E17:O17" si="2">SUBTOTAL(9,E11:E16)</f>
        <v>128473.65599517347</v>
      </c>
      <c r="F17" s="229">
        <f t="shared" si="2"/>
        <v>32770.600004826556</v>
      </c>
      <c r="G17" s="538">
        <f t="shared" si="2"/>
        <v>161244.25599999999</v>
      </c>
      <c r="H17" s="495">
        <f t="shared" si="2"/>
        <v>1438224.27844419</v>
      </c>
      <c r="I17" s="495">
        <f t="shared" si="2"/>
        <v>11350921.893776212</v>
      </c>
      <c r="J17" s="495">
        <f t="shared" si="2"/>
        <v>11350921.893776212</v>
      </c>
      <c r="K17" s="495">
        <f t="shared" si="2"/>
        <v>5675460.9468881059</v>
      </c>
      <c r="L17" s="495">
        <f t="shared" si="2"/>
        <v>0</v>
      </c>
      <c r="M17" s="495">
        <f t="shared" si="2"/>
        <v>454043.589028702</v>
      </c>
      <c r="N17" s="495">
        <f t="shared" si="2"/>
        <v>0</v>
      </c>
      <c r="O17" s="610">
        <f t="shared" si="2"/>
        <v>30269572.601913422</v>
      </c>
      <c r="P17" s="536">
        <f>SUMPRODUCT($P$11:$P$16,$G$11:$G$16)/SUM($G$11:$G$16)</f>
        <v>187.72070237342285</v>
      </c>
    </row>
    <row r="18" spans="2:16" ht="6" customHeight="1">
      <c r="B18" s="38"/>
      <c r="D18" s="265"/>
      <c r="E18" s="35"/>
      <c r="F18" s="35"/>
      <c r="G18" s="39"/>
      <c r="H18" s="107"/>
      <c r="I18" s="239"/>
      <c r="J18" s="239"/>
      <c r="K18" s="230"/>
      <c r="L18" s="139"/>
      <c r="M18" s="139"/>
      <c r="N18" s="139"/>
      <c r="O18" s="615"/>
      <c r="P18" s="531"/>
    </row>
    <row r="19" spans="2:16" ht="15">
      <c r="B19" s="43" t="str">
        <f>'Executive Summary'!A17</f>
        <v>CONTAINERS AND PACKAGING</v>
      </c>
      <c r="C19" s="11"/>
      <c r="D19" s="34"/>
      <c r="E19" s="11"/>
      <c r="F19" s="11"/>
      <c r="G19" s="45"/>
      <c r="H19" s="110"/>
      <c r="I19" s="575"/>
      <c r="J19" s="575"/>
      <c r="K19" s="575"/>
      <c r="L19" s="125"/>
      <c r="M19" s="125"/>
      <c r="N19" s="125"/>
      <c r="O19" s="614"/>
      <c r="P19" s="532"/>
    </row>
    <row r="20" spans="2:16" ht="15">
      <c r="B20" s="46" t="str">
        <f>'Executive Summary'!A18</f>
        <v>Paperboard</v>
      </c>
      <c r="C20" s="37" t="str">
        <f>INDEX(ListeMatières,7)</f>
        <v>Corrugated cardboard</v>
      </c>
      <c r="D20" s="58">
        <f>INDEX(tblMatières[Generated quantity  
(tonnes)],MATCH($C20,tblMatières[Material],0))</f>
        <v>57170.796000000002</v>
      </c>
      <c r="E20" s="26">
        <f>INDEX(tblMatières[Recovered quantity  (tonnes)],MATCH($C20,tblMatières[Material],0))</f>
        <v>40535.693523257782</v>
      </c>
      <c r="F20" s="26">
        <f t="shared" ref="F20:F26" si="3">D20-E20</f>
        <v>16635.10247674222</v>
      </c>
      <c r="G20" s="144">
        <f>INDEX(tblMatières[Reported quantity (tonnes)],MATCH($C20,tblMatières[Material],0))</f>
        <v>57170.796000000002</v>
      </c>
      <c r="H20" s="716">
        <f>SUM('Admin expenses &amp; R-Q'!$G$19:$G$21)</f>
        <v>755252.12474825489</v>
      </c>
      <c r="I20" s="671">
        <f>SUM('Factor 1'!$H$19:$H$21)</f>
        <v>3819999.1032633879</v>
      </c>
      <c r="J20" s="673">
        <f>SUM('Factor 2'!$J$19:$J$21)</f>
        <v>5239336.0224730242</v>
      </c>
      <c r="K20" s="667">
        <f>SUM('Factor 3'!$L$19:$L$21)</f>
        <v>992016.73262290552</v>
      </c>
      <c r="L20" s="694">
        <f>SUM('Fees hike cap'!L19:L21)</f>
        <v>1289999.9016920077</v>
      </c>
      <c r="M20" s="694">
        <f>SUM('Credit recycled content'!K15:K17)</f>
        <v>0</v>
      </c>
      <c r="N20" s="698">
        <f>SUM(Parameters!F54:F56)</f>
        <v>-891877.68879999896</v>
      </c>
      <c r="O20" s="704">
        <f>SUM(H20:N22)</f>
        <v>11204726.195999581</v>
      </c>
      <c r="P20" s="530">
        <f>ROUND(O20 /SUM($G$20:$G$22),2)</f>
        <v>185.93</v>
      </c>
    </row>
    <row r="21" spans="2:16" ht="15">
      <c r="B21" s="46"/>
      <c r="C21" s="558" t="str">
        <f>INDEX(ListeMatières,8)</f>
        <v>Kraft paper shopping bags</v>
      </c>
      <c r="D21" s="559">
        <f>INDEX(tblMatières[Generated quantity  
(tonnes)],MATCH($C21,tblMatières[Material],0))</f>
        <v>2779.5329999999999</v>
      </c>
      <c r="E21" s="560">
        <f>INDEX(tblMatières[Recovered quantity  (tonnes)],MATCH($C21,tblMatières[Material],0))</f>
        <v>954.88002661803682</v>
      </c>
      <c r="F21" s="560">
        <f t="shared" si="3"/>
        <v>1824.652973381963</v>
      </c>
      <c r="G21" s="560">
        <f>INDEX(tblMatières[Reported quantity (tonnes)],MATCH($C21,tblMatières[Material],0))</f>
        <v>2779.5329999999999</v>
      </c>
      <c r="H21" s="716"/>
      <c r="I21" s="671"/>
      <c r="J21" s="673"/>
      <c r="K21" s="667"/>
      <c r="L21" s="695"/>
      <c r="M21" s="695"/>
      <c r="N21" s="676"/>
      <c r="O21" s="705"/>
      <c r="P21" s="562">
        <f>P20</f>
        <v>185.93</v>
      </c>
    </row>
    <row r="22" spans="2:16" ht="15">
      <c r="B22" s="46"/>
      <c r="C22" s="558" t="str">
        <f>INDEX(ListeMatières,9)</f>
        <v>Kraft paper packaging</v>
      </c>
      <c r="D22" s="559">
        <f>INDEX(tblMatières[Generated quantity  
(tonnes)],MATCH($C22,tblMatières[Material],0))</f>
        <v>311.67700000000002</v>
      </c>
      <c r="E22" s="560">
        <f>INDEX(tblMatières[Recovered quantity  (tonnes)],MATCH($C22,tblMatières[Material],0))</f>
        <v>99.135800518476543</v>
      </c>
      <c r="F22" s="560">
        <f t="shared" si="3"/>
        <v>212.54119948152348</v>
      </c>
      <c r="G22" s="560">
        <f>INDEX(tblMatières[Reported quantity (tonnes)],MATCH($C22,tblMatières[Material],0))</f>
        <v>311.67700000000002</v>
      </c>
      <c r="H22" s="717"/>
      <c r="I22" s="715"/>
      <c r="J22" s="714"/>
      <c r="K22" s="713"/>
      <c r="L22" s="696"/>
      <c r="M22" s="696"/>
      <c r="N22" s="711"/>
      <c r="O22" s="706"/>
      <c r="P22" s="562">
        <f>P20</f>
        <v>185.93</v>
      </c>
    </row>
    <row r="23" spans="2:16" ht="15">
      <c r="B23" s="46"/>
      <c r="C23" s="558" t="str">
        <f>INDEX(ListeMatières,10)</f>
        <v>Boxboard / Other paper packaging</v>
      </c>
      <c r="D23" s="559">
        <f>INDEX(tblMatières[Generated quantity  
(tonnes)],MATCH($C23,tblMatières[Material],0))</f>
        <v>87558.263999999996</v>
      </c>
      <c r="E23" s="560">
        <f>INDEX(tblMatières[Recovered quantity  (tonnes)],MATCH($C23,tblMatières[Material],0))</f>
        <v>49381.170834612974</v>
      </c>
      <c r="F23" s="560">
        <f t="shared" si="3"/>
        <v>38177.093165387021</v>
      </c>
      <c r="G23" s="561">
        <f>INDEX(tblMatières[Reported quantity (tonnes)],MATCH($C23,tblMatières[Material],0))</f>
        <v>87558.263999999996</v>
      </c>
      <c r="H23" s="563">
        <f>'Admin expenses &amp; R-Q'!G22</f>
        <v>1097350.8735382729</v>
      </c>
      <c r="I23" s="564">
        <f>'Factor 1'!H22</f>
        <v>7810311.9500332493</v>
      </c>
      <c r="J23" s="565">
        <f>'Factor 2'!J22</f>
        <v>6043337.8112233961</v>
      </c>
      <c r="K23" s="566">
        <f>'Factor 3'!L22</f>
        <v>1970376.5847632573</v>
      </c>
      <c r="L23" s="567">
        <f>'Fees hike cap'!L22</f>
        <v>523488.80918113346</v>
      </c>
      <c r="M23" s="567">
        <f>'Credit recycled content'!K18</f>
        <v>0</v>
      </c>
      <c r="N23" s="608">
        <f>INDEX(Parameters!$F$48:$F$77,MATCH(C23,ListeMatières,0))</f>
        <v>-347606.30807999987</v>
      </c>
      <c r="O23" s="618">
        <f>SUM(H23:N23)</f>
        <v>17097259.720659312</v>
      </c>
      <c r="P23" s="562">
        <f>O23/G23</f>
        <v>195.2672305227444</v>
      </c>
    </row>
    <row r="24" spans="2:16" ht="15">
      <c r="B24" s="46"/>
      <c r="C24" s="558" t="str">
        <f>INDEX(ListeMatières,11)</f>
        <v>Gable-top containers</v>
      </c>
      <c r="D24" s="559">
        <f>INDEX(tblMatières[Generated quantity  
(tonnes)],MATCH($C24,tblMatières[Material],0))</f>
        <v>12195.59</v>
      </c>
      <c r="E24" s="560">
        <f>INDEX(tblMatières[Recovered quantity  (tonnes)],MATCH($C24,tblMatières[Material],0))</f>
        <v>8372.4597512227556</v>
      </c>
      <c r="F24" s="560">
        <f t="shared" si="3"/>
        <v>3823.1302487772446</v>
      </c>
      <c r="G24" s="561">
        <f>INDEX(tblMatières[Reported quantity (tonnes)],MATCH($C24,tblMatières[Material],0))</f>
        <v>12195.59</v>
      </c>
      <c r="H24" s="563">
        <f>'Admin expenses &amp; R-Q'!G23</f>
        <v>152844.98262567911</v>
      </c>
      <c r="I24" s="564">
        <f>'Factor 1'!H23</f>
        <v>782140.21531714487</v>
      </c>
      <c r="J24" s="565">
        <f>'Factor 2'!J23</f>
        <v>1251029.042535858</v>
      </c>
      <c r="K24" s="566">
        <f>'Factor 3'!L23</f>
        <v>240915.25973513722</v>
      </c>
      <c r="L24" s="567">
        <f>'Fees hike cap'!L23</f>
        <v>54464.444835438975</v>
      </c>
      <c r="M24" s="567">
        <f>'Credit recycled content'!K19</f>
        <v>0</v>
      </c>
      <c r="N24" s="608">
        <f>INDEX(Parameters!$F$48:$F$77,MATCH(C24,ListeMatières,0))</f>
        <v>-99881.882099999973</v>
      </c>
      <c r="O24" s="618">
        <f>SUM(H24:N24)</f>
        <v>2381512.0629492579</v>
      </c>
      <c r="P24" s="562">
        <f>O24/G24</f>
        <v>195.27649444998215</v>
      </c>
    </row>
    <row r="25" spans="2:16" ht="15">
      <c r="B25" s="46"/>
      <c r="C25" s="558" t="str">
        <f>INDEX(ListeMatières,12)</f>
        <v>Paper laminants</v>
      </c>
      <c r="D25" s="559">
        <f>INDEX(tblMatières[Generated quantity  
(tonnes)],MATCH($C25,tblMatières[Material],0))</f>
        <v>12555.716</v>
      </c>
      <c r="E25" s="560">
        <f>INDEX(tblMatières[Recovered quantity  (tonnes)],MATCH($C25,tblMatières[Material],0))</f>
        <v>3392.0864248591306</v>
      </c>
      <c r="F25" s="560">
        <f t="shared" si="3"/>
        <v>9163.6295751408688</v>
      </c>
      <c r="G25" s="561">
        <f>INDEX(tblMatières[Reported quantity (tonnes)],MATCH($C25,tblMatières[Material],0))</f>
        <v>12555.716</v>
      </c>
      <c r="H25" s="563">
        <f>'Admin expenses &amp; R-Q'!G24</f>
        <v>157358.3724832469</v>
      </c>
      <c r="I25" s="564">
        <f>'Factor 1'!H24</f>
        <v>1874705.4749912175</v>
      </c>
      <c r="J25" s="565">
        <f>'Factor 2'!J24</f>
        <v>630373.18885623908</v>
      </c>
      <c r="K25" s="566">
        <f>'Factor 3'!L24</f>
        <v>718173.27773001499</v>
      </c>
      <c r="L25" s="567">
        <f>'Fees hike cap'!L24</f>
        <v>4605.745446044205</v>
      </c>
      <c r="M25" s="567">
        <f>'Credit recycled content'!K20</f>
        <v>0</v>
      </c>
      <c r="N25" s="608">
        <f>INDEX(Parameters!$F$48:$F$77,MATCH(C25,ListeMatières,0))</f>
        <v>-309749.51372000022</v>
      </c>
      <c r="O25" s="618">
        <f>SUM(H25:N25)</f>
        <v>3075466.5457867626</v>
      </c>
      <c r="P25" s="562">
        <f>O25/G25</f>
        <v>244.94553283833136</v>
      </c>
    </row>
    <row r="26" spans="2:16" ht="15">
      <c r="B26" s="46"/>
      <c r="C26" s="37" t="str">
        <f>INDEX(ListeMatières,13)</f>
        <v>Aseptic containers</v>
      </c>
      <c r="D26" s="58">
        <f>INDEX(tblMatières[Generated quantity  
(tonnes)],MATCH($C26,tblMatières[Material],0))</f>
        <v>6206.1570000000002</v>
      </c>
      <c r="E26" s="26">
        <f>INDEX(tblMatières[Recovered quantity  (tonnes)],MATCH($C26,tblMatières[Material],0))</f>
        <v>3243.9021752935305</v>
      </c>
      <c r="F26" s="26">
        <f t="shared" si="3"/>
        <v>2962.2548247064697</v>
      </c>
      <c r="G26" s="48">
        <f>INDEX(tblMatières[Reported quantity (tonnes)],MATCH($C26,tblMatières[Material],0))</f>
        <v>6206.1570000000002</v>
      </c>
      <c r="H26" s="563">
        <f>'Admin expenses &amp; R-Q'!G25</f>
        <v>77780.571406322852</v>
      </c>
      <c r="I26" s="564">
        <f>'Factor 1'!H25</f>
        <v>606021.36878836004</v>
      </c>
      <c r="J26" s="490">
        <f>'Factor 2'!J25</f>
        <v>494875.92657617969</v>
      </c>
      <c r="K26" s="491">
        <f>'Factor 3'!L25</f>
        <v>190582.00266759173</v>
      </c>
      <c r="L26" s="567">
        <f>'Fees hike cap'!L25</f>
        <v>126044.74873723077</v>
      </c>
      <c r="M26" s="567">
        <f>'Credit recycled content'!K21</f>
        <v>0</v>
      </c>
      <c r="N26" s="608">
        <f>INDEX(Parameters!$F$48:$F$77,MATCH(C26,ListeMatières,0))</f>
        <v>-76025.423250000007</v>
      </c>
      <c r="O26" s="618">
        <f>SUM(H26:N26)</f>
        <v>1419279.1949256849</v>
      </c>
      <c r="P26" s="530">
        <f>O26/G26</f>
        <v>228.68889635336086</v>
      </c>
    </row>
    <row r="27" spans="2:16" s="6" customFormat="1" ht="15">
      <c r="B27" s="43" t="str">
        <f>'Executive Summary'!A25</f>
        <v>TOTAL - Paperboard</v>
      </c>
      <c r="C27" s="10"/>
      <c r="D27" s="60">
        <f>SUBTOTAL(9,D20:D26)</f>
        <v>178777.73300000001</v>
      </c>
      <c r="E27" s="22">
        <f t="shared" ref="E27:O27" si="4">SUBTOTAL(9,E20:E26)</f>
        <v>105979.32853638267</v>
      </c>
      <c r="F27" s="22">
        <f t="shared" si="4"/>
        <v>72798.404463617306</v>
      </c>
      <c r="G27" s="29">
        <f t="shared" si="4"/>
        <v>178777.73300000001</v>
      </c>
      <c r="H27" s="494">
        <f t="shared" si="4"/>
        <v>2240586.9248017767</v>
      </c>
      <c r="I27" s="494">
        <f t="shared" si="4"/>
        <v>14893178.112393359</v>
      </c>
      <c r="J27" s="494">
        <f t="shared" si="4"/>
        <v>13658951.991664698</v>
      </c>
      <c r="K27" s="494">
        <f t="shared" si="4"/>
        <v>4112063.8575189072</v>
      </c>
      <c r="L27" s="494">
        <f t="shared" si="4"/>
        <v>1998603.6498918552</v>
      </c>
      <c r="M27" s="494">
        <f t="shared" si="4"/>
        <v>0</v>
      </c>
      <c r="N27" s="494">
        <f t="shared" si="4"/>
        <v>-1725140.815949999</v>
      </c>
      <c r="O27" s="611">
        <f t="shared" si="4"/>
        <v>35178243.720320605</v>
      </c>
      <c r="P27" s="535">
        <f>SUMPRODUCT(P20:P26,G20:G26)/SUM(G20:G26)</f>
        <v>196.76965195604657</v>
      </c>
    </row>
    <row r="28" spans="2:16" ht="15">
      <c r="B28" s="46" t="str">
        <f>'Executive Summary'!A26</f>
        <v>Plastic</v>
      </c>
      <c r="C28" s="37" t="str">
        <f>INDEX(ListeMatières,14)</f>
        <v>PET bottles</v>
      </c>
      <c r="D28" s="58">
        <f>INDEX(tblMatières[Generated quantity  
(tonnes)],MATCH($C28,tblMatières[Material],0))</f>
        <v>23176.743999999999</v>
      </c>
      <c r="E28" s="26">
        <f>INDEX(tblMatières[Recovered quantity  (tonnes)],MATCH($C28,tblMatières[Material],0))</f>
        <v>13623.907422425867</v>
      </c>
      <c r="F28" s="26">
        <f t="shared" ref="F28:F38" si="5">D28-E28</f>
        <v>9552.8365775741313</v>
      </c>
      <c r="G28" s="48">
        <f>INDEX(tblMatières[Reported quantity (tonnes)],MATCH($C28,tblMatières[Material],0))</f>
        <v>23176.743999999999</v>
      </c>
      <c r="H28" s="492">
        <f>'Admin expenses &amp; R-Q'!G27+'Admin expenses &amp; R-Q'!G35</f>
        <v>798022.88736438355</v>
      </c>
      <c r="I28" s="489">
        <f>'Factor 1'!H27+'Factor 1'!H35</f>
        <v>2695251.7666305969</v>
      </c>
      <c r="J28" s="490">
        <f>'Factor 2'!J27+'Factor 2'!J35</f>
        <v>3222477.3922412274</v>
      </c>
      <c r="K28" s="491">
        <f>'Factor 3'!L27+'Factor 3'!L35</f>
        <v>1088889.8017675832</v>
      </c>
      <c r="L28" s="493">
        <f>'Fees hike cap'!L27+'Fees hike cap'!L35</f>
        <v>317973.50532779621</v>
      </c>
      <c r="M28" s="493">
        <f>'Credit recycled content'!K23+'Credit recycled content'!K31</f>
        <v>123694.65005073452</v>
      </c>
      <c r="N28" s="608">
        <f>Parameters!F61+Parameters!F69</f>
        <v>-311519.0709999986</v>
      </c>
      <c r="O28" s="619">
        <f>SUM(H28:N28)</f>
        <v>7934790.9323823228</v>
      </c>
      <c r="P28" s="530">
        <f>ROUND(O28/(G28+G36),2)</f>
        <v>262.35000000000002</v>
      </c>
    </row>
    <row r="29" spans="2:16" ht="15">
      <c r="B29" s="38"/>
      <c r="C29" s="37" t="str">
        <f>INDEX(ListeMatières,15)</f>
        <v>HDPE bottles</v>
      </c>
      <c r="D29" s="559">
        <f>INDEX(tblMatières[Generated quantity  
(tonnes)],MATCH($C29,tblMatières[Material],0))</f>
        <v>16609.435000000001</v>
      </c>
      <c r="E29" s="560">
        <f>INDEX(tblMatières[Recovered quantity  (tonnes)],MATCH($C29,tblMatières[Material],0))</f>
        <v>10319.634497317069</v>
      </c>
      <c r="F29" s="560">
        <f t="shared" si="5"/>
        <v>6289.8005026829323</v>
      </c>
      <c r="G29" s="561">
        <f>INDEX(tblMatières[Reported quantity (tonnes)],MATCH($C29,tblMatières[Material],0))</f>
        <v>16609.435000000001</v>
      </c>
      <c r="H29" s="563">
        <f>'Admin expenses &amp; R-Q'!G28</f>
        <v>438250.8753204642</v>
      </c>
      <c r="I29" s="564">
        <f>'Factor 1'!H28</f>
        <v>1286774.3444115524</v>
      </c>
      <c r="J29" s="565">
        <f>'Factor 2'!J28</f>
        <v>671867.42557620665</v>
      </c>
      <c r="K29" s="566">
        <f>'Factor 3'!L28</f>
        <v>172697.89044983353</v>
      </c>
      <c r="L29" s="567">
        <f>'Fees hike cap'!L28</f>
        <v>279913.41587218345</v>
      </c>
      <c r="M29" s="567">
        <f>'Credit recycled content'!K24</f>
        <v>0</v>
      </c>
      <c r="N29" s="608">
        <f>INDEX(Parameters!$F$48:$F$77,MATCH(C29,ListeMatières,0))</f>
        <v>-197818.37084999995</v>
      </c>
      <c r="O29" s="620">
        <f>SUM(H29:N29)</f>
        <v>2651685.5807802402</v>
      </c>
      <c r="P29" s="562">
        <f>O29/G29</f>
        <v>159.64935476614588</v>
      </c>
    </row>
    <row r="30" spans="2:16">
      <c r="B30" s="38"/>
      <c r="C30" s="37" t="str">
        <f>INDEX(ListeMatières,16)</f>
        <v>Plastic laminants</v>
      </c>
      <c r="D30" s="559">
        <f>INDEX(tblMatières[Generated quantity  
(tonnes)],MATCH($C30,tblMatières[Material],0))</f>
        <v>12064.946</v>
      </c>
      <c r="E30" s="560">
        <f>INDEX(tblMatières[Recovered quantity  (tonnes)],MATCH($C30,tblMatières[Material],0))</f>
        <v>1618.7545506972476</v>
      </c>
      <c r="F30" s="560">
        <f t="shared" si="5"/>
        <v>10446.191449302753</v>
      </c>
      <c r="G30" s="561">
        <f>INDEX(tblMatières[Reported quantity (tonnes)],MATCH($C30,tblMatières[Material],0))</f>
        <v>12064.946</v>
      </c>
      <c r="H30" s="669">
        <f>SUM('Admin expenses &amp; R-Q'!G29:G31)</f>
        <v>1139673.4404204993</v>
      </c>
      <c r="I30" s="671">
        <f>SUM('Factor 1'!H29:H31)</f>
        <v>7277331.8838722352</v>
      </c>
      <c r="J30" s="712">
        <f>SUM('Factor 2'!J29:J31)</f>
        <v>3829686.5053419704</v>
      </c>
      <c r="K30" s="667">
        <f>SUM('Factor 3'!L29:L31)</f>
        <v>7432199.3022116395</v>
      </c>
      <c r="L30" s="681">
        <f>SUM('Fees hike cap'!L29:L31)</f>
        <v>1363639.3501643455</v>
      </c>
      <c r="M30" s="681">
        <f>SUM('Credit recycled content'!K25:K27)</f>
        <v>0</v>
      </c>
      <c r="N30" s="675">
        <f>SUM(Parameters!F63:F65)</f>
        <v>-680720.30887999968</v>
      </c>
      <c r="O30" s="678">
        <f>SUM(H30:N32)</f>
        <v>20361810.173130687</v>
      </c>
      <c r="P30" s="562">
        <f>ROUND(O30/SUM(Fees!G30:G32),2)</f>
        <v>471.42</v>
      </c>
    </row>
    <row r="31" spans="2:16">
      <c r="B31" s="38"/>
      <c r="C31" s="37" t="str">
        <f>INDEX(ListeMatières,17)</f>
        <v>HDPE and LDPE plastic film</v>
      </c>
      <c r="D31" s="559">
        <f>INDEX(tblMatières[Generated quantity  
(tonnes)],MATCH($C31,tblMatières[Material],0))</f>
        <v>21920.366999999998</v>
      </c>
      <c r="E31" s="560">
        <f>INDEX(tblMatières[Recovered quantity  (tonnes)],MATCH($C31,tblMatières[Material],0))</f>
        <v>4791.0687245431354</v>
      </c>
      <c r="F31" s="560">
        <f t="shared" si="5"/>
        <v>17129.298275456862</v>
      </c>
      <c r="G31" s="561">
        <f>INDEX(tblMatières[Reported quantity (tonnes)],MATCH($C31,tblMatières[Material],0))</f>
        <v>21920.366999999998</v>
      </c>
      <c r="H31" s="669"/>
      <c r="I31" s="671"/>
      <c r="J31" s="712"/>
      <c r="K31" s="667"/>
      <c r="L31" s="682"/>
      <c r="M31" s="682"/>
      <c r="N31" s="676"/>
      <c r="O31" s="679"/>
      <c r="P31" s="562">
        <f>P30</f>
        <v>471.42</v>
      </c>
    </row>
    <row r="32" spans="2:16">
      <c r="B32" s="38"/>
      <c r="C32" s="37" t="str">
        <f>INDEX(ListeMatières,18)</f>
        <v>HDPE and LDPE plastic shopping bags</v>
      </c>
      <c r="D32" s="559">
        <f>INDEX(tblMatières[Generated quantity  
(tonnes)],MATCH($C32,tblMatières[Material],0))</f>
        <v>9207.6</v>
      </c>
      <c r="E32" s="560">
        <f>INDEX(tblMatières[Recovered quantity  (tonnes)],MATCH($C32,tblMatières[Material],0))</f>
        <v>1211.2228001806236</v>
      </c>
      <c r="F32" s="560">
        <f t="shared" si="5"/>
        <v>7996.377199819377</v>
      </c>
      <c r="G32" s="561">
        <f>INDEX(tblMatières[Reported quantity (tonnes)],MATCH($C32,tblMatières[Material],0))</f>
        <v>9207.6</v>
      </c>
      <c r="H32" s="669"/>
      <c r="I32" s="671"/>
      <c r="J32" s="712"/>
      <c r="K32" s="667"/>
      <c r="L32" s="697"/>
      <c r="M32" s="697"/>
      <c r="N32" s="711"/>
      <c r="O32" s="707"/>
      <c r="P32" s="562">
        <f>P30</f>
        <v>471.42</v>
      </c>
    </row>
    <row r="33" spans="2:16">
      <c r="B33" s="38"/>
      <c r="C33" s="37" t="str">
        <f>INDEX(ListeMatières,19)</f>
        <v>Expanded polystyrene food</v>
      </c>
      <c r="D33" s="559">
        <f>INDEX(tblMatières[Generated quantity  
(tonnes)],MATCH($C33,tblMatières[Material],0))</f>
        <v>4326.0749999999998</v>
      </c>
      <c r="E33" s="560">
        <f>INDEX(tblMatières[Recovered quantity  (tonnes)],MATCH($C33,tblMatières[Material],0))</f>
        <v>310.34995403285171</v>
      </c>
      <c r="F33" s="560">
        <f t="shared" si="5"/>
        <v>4015.7250459671482</v>
      </c>
      <c r="G33" s="561">
        <f>INDEX(tblMatières[Reported quantity (tonnes)],MATCH($C33,tblMatières[Material],0))</f>
        <v>4326.0749999999998</v>
      </c>
      <c r="H33" s="593">
        <f>SUM('Admin expenses &amp; R-Q'!G32:G34) + 'Admin expenses &amp; R-Q'!G36</f>
        <v>298825.1521502973</v>
      </c>
      <c r="I33" s="594">
        <f>SUM('Factor 1'!H32:H34) + 'Factor 1'!H36</f>
        <v>1800441.8943843977</v>
      </c>
      <c r="J33" s="595">
        <f>SUM('Factor 2'!J32:J34)+'Factor 2'!J36</f>
        <v>1999835.9203975245</v>
      </c>
      <c r="K33" s="596">
        <f>SUM('Factor 3'!L32:L34)+'Factor 3'!L36</f>
        <v>4088640.747746069</v>
      </c>
      <c r="L33" s="597">
        <f>SUM('Fees hike cap'!L32:L34)+'Fees hike cap'!L36</f>
        <v>332976.21089749696</v>
      </c>
      <c r="M33" s="597">
        <f>SUM('Credit recycled content'!K28:K30)+'Credit recycled content'!K32</f>
        <v>0</v>
      </c>
      <c r="N33" s="675">
        <f>SUM(Parameters!F66:F68)+Parameters!F70</f>
        <v>-23783.102700000254</v>
      </c>
      <c r="O33" s="678">
        <f>SUM(H33:N35)</f>
        <v>8496936.8228757847</v>
      </c>
      <c r="P33" s="562">
        <f>ROUND(O33/(SUM(Fees!G33:G35) + G37),2)</f>
        <v>750.26</v>
      </c>
    </row>
    <row r="34" spans="2:16">
      <c r="B34" s="265"/>
      <c r="C34" s="37" t="str">
        <f>INDEX(ListeMatières,20)</f>
        <v>Expanded polystyrene protection</v>
      </c>
      <c r="D34" s="559">
        <f>INDEX(tblMatières[Generated quantity  
(tonnes)],MATCH($C34,tblMatières[Material],0))</f>
        <v>1850.1969999999999</v>
      </c>
      <c r="E34" s="560">
        <f>INDEX(tblMatières[Recovered quantity  (tonnes)],MATCH($C34,tblMatières[Material],0))</f>
        <v>606.7541775293505</v>
      </c>
      <c r="F34" s="560">
        <f>D34-E34</f>
        <v>1243.4428224706494</v>
      </c>
      <c r="G34" s="561">
        <f>INDEX(tblMatières[Reported quantity (tonnes)],MATCH($C34,tblMatières[Material],0))</f>
        <v>1850.1969999999999</v>
      </c>
      <c r="H34" s="598"/>
      <c r="I34" s="599"/>
      <c r="J34" s="600"/>
      <c r="K34" s="601"/>
      <c r="L34" s="602"/>
      <c r="M34" s="602"/>
      <c r="N34" s="676"/>
      <c r="O34" s="679"/>
      <c r="P34" s="562">
        <f>P33</f>
        <v>750.26</v>
      </c>
    </row>
    <row r="35" spans="2:16">
      <c r="B35" s="38"/>
      <c r="C35" s="37" t="str">
        <f>INDEX(ListeMatières,21)</f>
        <v>Non-expanded polystyrene</v>
      </c>
      <c r="D35" s="559">
        <f>INDEX(tblMatières[Generated quantity  
(tonnes)],MATCH($C35,tblMatières[Material],0))</f>
        <v>5060.2809999999999</v>
      </c>
      <c r="E35" s="560">
        <f>INDEX(tblMatières[Recovered quantity  (tonnes)],MATCH($C35,tblMatières[Material],0))</f>
        <v>1589.2978514450424</v>
      </c>
      <c r="F35" s="560">
        <f t="shared" si="5"/>
        <v>3470.9831485549576</v>
      </c>
      <c r="G35" s="561">
        <f>INDEX(tblMatières[Reported quantity (tonnes)],MATCH($C35,tblMatières[Material],0))</f>
        <v>5060.2809999999999</v>
      </c>
      <c r="H35" s="603"/>
      <c r="I35" s="604"/>
      <c r="J35" s="605"/>
      <c r="K35" s="606"/>
      <c r="L35" s="607"/>
      <c r="M35" s="607"/>
      <c r="N35" s="711"/>
      <c r="O35" s="707"/>
      <c r="P35" s="562">
        <f>P33</f>
        <v>750.26</v>
      </c>
    </row>
    <row r="36" spans="2:16">
      <c r="B36" s="38"/>
      <c r="C36" s="37" t="str">
        <f>INDEX(ListeMatières,22)</f>
        <v>PET containers</v>
      </c>
      <c r="D36" s="559">
        <f>INDEX(tblMatières[Generated quantity  
(tonnes)],MATCH($C36,tblMatières[Material],0))</f>
        <v>7067.826</v>
      </c>
      <c r="E36" s="560">
        <f>INDEX(tblMatières[Recovered quantity  (tonnes)],MATCH($C36,tblMatières[Material],0))</f>
        <v>3446.1724346558049</v>
      </c>
      <c r="F36" s="560">
        <f t="shared" si="5"/>
        <v>3621.6535653441952</v>
      </c>
      <c r="G36" s="561">
        <f>INDEX(tblMatières[Reported quantity (tonnes)],MATCH($C36,tblMatières[Material],0))</f>
        <v>7067.826</v>
      </c>
      <c r="H36" s="708" t="s">
        <v>207</v>
      </c>
      <c r="I36" s="709"/>
      <c r="J36" s="709"/>
      <c r="K36" s="709"/>
      <c r="L36" s="709"/>
      <c r="M36" s="709"/>
      <c r="N36" s="709"/>
      <c r="O36" s="710"/>
      <c r="P36" s="562">
        <f>P28</f>
        <v>262.35000000000002</v>
      </c>
    </row>
    <row r="37" spans="2:16">
      <c r="B37" s="38"/>
      <c r="C37" s="37" t="str">
        <f>INDEX(ListeMatières,23)</f>
        <v>Polylactic acid (PLA) and other degradable plastics</v>
      </c>
      <c r="D37" s="559">
        <f>INDEX(tblMatières[Generated quantity  
(tonnes)],MATCH($C37,tblMatières[Material],0))</f>
        <v>88.733999999999995</v>
      </c>
      <c r="E37" s="560">
        <f>INDEX(tblMatières[Recovered quantity  (tonnes)],MATCH($C37,tblMatières[Material],0))</f>
        <v>18.258565640010666</v>
      </c>
      <c r="F37" s="560">
        <f t="shared" si="5"/>
        <v>70.475434359989322</v>
      </c>
      <c r="G37" s="561">
        <f>INDEX(tblMatières[Reported quantity (tonnes)],MATCH($C37,tblMatières[Material],0))</f>
        <v>88.733999999999995</v>
      </c>
      <c r="H37" s="708" t="s">
        <v>208</v>
      </c>
      <c r="I37" s="709"/>
      <c r="J37" s="709"/>
      <c r="K37" s="709"/>
      <c r="L37" s="709"/>
      <c r="M37" s="709"/>
      <c r="N37" s="709"/>
      <c r="O37" s="710"/>
      <c r="P37" s="562">
        <f>P33</f>
        <v>750.26</v>
      </c>
    </row>
    <row r="38" spans="2:16" ht="15">
      <c r="B38" s="38"/>
      <c r="C38" s="37" t="str">
        <f>INDEX(ListeMatières,24)</f>
        <v>Other plastics, polymers and polyurethane</v>
      </c>
      <c r="D38" s="58">
        <f>INDEX(tblMatières[Generated quantity  
(tonnes)],MATCH($C38,tblMatières[Material],0))</f>
        <v>33319.733</v>
      </c>
      <c r="E38" s="26">
        <f>INDEX(tblMatières[Recovered quantity  (tonnes)],MATCH($C38,tblMatières[Material],0))</f>
        <v>12129.950450506696</v>
      </c>
      <c r="F38" s="26">
        <f t="shared" si="5"/>
        <v>21189.782549493306</v>
      </c>
      <c r="G38" s="48">
        <f>INDEX(tblMatières[Reported quantity (tonnes)],MATCH($C38,tblMatières[Material],0))</f>
        <v>33319.733</v>
      </c>
      <c r="H38" s="563">
        <f>'Admin expenses &amp; R-Q'!G37</f>
        <v>879163.08728708443</v>
      </c>
      <c r="I38" s="564">
        <f>'Factor 1'!H37</f>
        <v>4335029.1534233894</v>
      </c>
      <c r="J38" s="565">
        <f>'Factor 2'!J37</f>
        <v>2670374.7112501883</v>
      </c>
      <c r="K38" s="566">
        <f>'Factor 3'!L37</f>
        <v>1967299.9073726835</v>
      </c>
      <c r="L38" s="493">
        <f>'Fees hike cap'!L37</f>
        <v>340315.66442023695</v>
      </c>
      <c r="M38" s="493">
        <f>'Credit recycled content'!K33</f>
        <v>0</v>
      </c>
      <c r="N38" s="608">
        <f>Parameters!F71</f>
        <v>-122283.42010999864</v>
      </c>
      <c r="O38" s="620">
        <f>SUM(H38:N38)</f>
        <v>10069899.103643585</v>
      </c>
      <c r="P38" s="530">
        <f>ROUND(O38 /G38,2)</f>
        <v>302.22000000000003</v>
      </c>
    </row>
    <row r="39" spans="2:16" s="6" customFormat="1" ht="15">
      <c r="B39" s="43" t="str">
        <f>'Executive Summary'!A37</f>
        <v>TOTAL - Plastic</v>
      </c>
      <c r="C39" s="10"/>
      <c r="D39" s="61">
        <f>SUBTOTAL(9,D28:D38)</f>
        <v>134691.93799999999</v>
      </c>
      <c r="E39" s="24">
        <f t="shared" ref="E39:O39" si="6">SUBTOTAL(9,E28:E38)</f>
        <v>49665.371428973704</v>
      </c>
      <c r="F39" s="24">
        <f t="shared" si="6"/>
        <v>85026.566571026313</v>
      </c>
      <c r="G39" s="30">
        <f t="shared" si="6"/>
        <v>134691.93799999999</v>
      </c>
      <c r="H39" s="494">
        <f t="shared" si="6"/>
        <v>3553935.442542729</v>
      </c>
      <c r="I39" s="494">
        <f t="shared" si="6"/>
        <v>17394829.042722173</v>
      </c>
      <c r="J39" s="494">
        <f t="shared" si="6"/>
        <v>12394241.954807116</v>
      </c>
      <c r="K39" s="494">
        <f t="shared" si="6"/>
        <v>14749727.649547808</v>
      </c>
      <c r="L39" s="494">
        <f t="shared" si="6"/>
        <v>2634818.1466820589</v>
      </c>
      <c r="M39" s="494">
        <f t="shared" si="6"/>
        <v>123694.65005073452</v>
      </c>
      <c r="N39" s="494">
        <f t="shared" si="6"/>
        <v>-1336124.2735399969</v>
      </c>
      <c r="O39" s="611">
        <f t="shared" si="6"/>
        <v>49515122.612812623</v>
      </c>
      <c r="P39" s="535">
        <f>SUMPRODUCT(P28:P38,G28:G38)/SUM(G28:G38)</f>
        <v>367.61777901376882</v>
      </c>
    </row>
    <row r="40" spans="2:16" ht="15">
      <c r="B40" s="46" t="str">
        <f>'Executive Summary'!A38</f>
        <v>Aluminium</v>
      </c>
      <c r="C40" s="37" t="str">
        <f>INDEX(ListeMatières,25)</f>
        <v>Aluminium containers for food and beverages</v>
      </c>
      <c r="D40" s="58">
        <f>INDEX(tblMatières[Generated quantity  
(tonnes)],MATCH($C40,tblMatières[Material],0))</f>
        <v>2927.57</v>
      </c>
      <c r="E40" s="26">
        <f>INDEX(tblMatières[Recovered quantity  (tonnes)],MATCH($C40,tblMatières[Material],0))</f>
        <v>1291.1594981629264</v>
      </c>
      <c r="F40" s="26">
        <f>D40-E40</f>
        <v>1636.4105018370738</v>
      </c>
      <c r="G40" s="48">
        <f>INDEX(tblMatières[Reported quantity (tonnes)],MATCH($C40,tblMatières[Material],0))</f>
        <v>2927.57</v>
      </c>
      <c r="H40" s="684">
        <f>SUM('Admin expenses &amp; R-Q'!G39:G40)</f>
        <v>135037.81408834408</v>
      </c>
      <c r="I40" s="686">
        <f>SUM('Factor 1'!H39:H40)</f>
        <v>715002.39382231678</v>
      </c>
      <c r="J40" s="688">
        <f>SUM('Factor 2'!J39:J40)</f>
        <v>-230501.61903791717</v>
      </c>
      <c r="K40" s="690">
        <f>SUM('Factor 3'!L39:L40)</f>
        <v>0</v>
      </c>
      <c r="L40" s="692">
        <f>SUM('Fees hike cap'!L39:L40)</f>
        <v>77779.680004178517</v>
      </c>
      <c r="M40" s="692">
        <f>'Credit recycled content'!K35+'Credit recycled content'!K36</f>
        <v>0</v>
      </c>
      <c r="N40" s="698">
        <f>SUM(Parameters!F72:F73)</f>
        <v>-58950.256859999979</v>
      </c>
      <c r="O40" s="700">
        <f>SUM(H40:N41)</f>
        <v>638368.01201692235</v>
      </c>
      <c r="P40" s="562">
        <f>ROUND(O40/SUM(Fees!G40:G41),2)</f>
        <v>127.46</v>
      </c>
    </row>
    <row r="41" spans="2:16" ht="15">
      <c r="B41" s="46"/>
      <c r="C41" s="37" t="str">
        <f>INDEX(ListeMatières,26)</f>
        <v>Other aluminium containers and packaging</v>
      </c>
      <c r="D41" s="559">
        <f>INDEX(tblMatières[Generated quantity  
(tonnes)],MATCH($C41,tblMatières[Material],0))</f>
        <v>2080.9479999999999</v>
      </c>
      <c r="E41" s="560">
        <f>INDEX(tblMatières[Recovered quantity  (tonnes)],MATCH($C41,tblMatières[Material],0))</f>
        <v>222.40040322833309</v>
      </c>
      <c r="F41" s="560">
        <f>D41-E41</f>
        <v>1858.5475967716668</v>
      </c>
      <c r="G41" s="561">
        <f>INDEX(tblMatières[Reported quantity (tonnes)],MATCH($C41,tblMatières[Material],0))</f>
        <v>2080.9479999999999</v>
      </c>
      <c r="H41" s="685"/>
      <c r="I41" s="687"/>
      <c r="J41" s="689"/>
      <c r="K41" s="691"/>
      <c r="L41" s="693"/>
      <c r="M41" s="693"/>
      <c r="N41" s="699"/>
      <c r="O41" s="701"/>
      <c r="P41" s="562">
        <f>P40</f>
        <v>127.46</v>
      </c>
    </row>
    <row r="42" spans="2:16" s="6" customFormat="1" ht="15">
      <c r="B42" s="43" t="str">
        <f>'Executive Summary'!A40</f>
        <v>TOTAL - Aluminium</v>
      </c>
      <c r="C42" s="10"/>
      <c r="D42" s="60">
        <f>SUBTOTAL(9,D40:D41)</f>
        <v>5008.518</v>
      </c>
      <c r="E42" s="22">
        <f t="shared" ref="E42:O42" si="7">SUBTOTAL(9,E40:E41)</f>
        <v>1513.5599013912595</v>
      </c>
      <c r="F42" s="22">
        <f t="shared" si="7"/>
        <v>3494.9580986087403</v>
      </c>
      <c r="G42" s="29">
        <f t="shared" si="7"/>
        <v>5008.518</v>
      </c>
      <c r="H42" s="494">
        <f t="shared" si="7"/>
        <v>135037.81408834408</v>
      </c>
      <c r="I42" s="494">
        <f t="shared" si="7"/>
        <v>715002.39382231678</v>
      </c>
      <c r="J42" s="494">
        <f t="shared" si="7"/>
        <v>-230501.61903791717</v>
      </c>
      <c r="K42" s="494">
        <f t="shared" si="7"/>
        <v>0</v>
      </c>
      <c r="L42" s="527">
        <f t="shared" si="7"/>
        <v>77779.680004178517</v>
      </c>
      <c r="M42" s="527">
        <f t="shared" si="7"/>
        <v>0</v>
      </c>
      <c r="N42" s="527">
        <f t="shared" si="7"/>
        <v>-58950.256859999979</v>
      </c>
      <c r="O42" s="612">
        <f t="shared" si="7"/>
        <v>638368.01201692235</v>
      </c>
      <c r="P42" s="535">
        <f>SUMPRODUCT(P40:P41,G40:G41)/SUM(G40:G41)</f>
        <v>127.46</v>
      </c>
    </row>
    <row r="43" spans="2:16" ht="15">
      <c r="B43" s="46" t="str">
        <f>'Executive Summary'!A41</f>
        <v>Steel</v>
      </c>
      <c r="C43" s="37" t="str">
        <f>INDEX(ListeMatières,27)</f>
        <v>Steel aerosol containers</v>
      </c>
      <c r="D43" s="58">
        <f>INDEX(tblMatières[Generated quantity  
(tonnes)],MATCH($C43,tblMatières[Material],0))</f>
        <v>1674.4069999999999</v>
      </c>
      <c r="E43" s="26">
        <f>INDEX(tblMatières[Recovered quantity  (tonnes)],MATCH($C43,tblMatières[Material],0))</f>
        <v>310.16626167182272</v>
      </c>
      <c r="F43" s="26">
        <f>D43-E43</f>
        <v>1364.2407383281773</v>
      </c>
      <c r="G43" s="48">
        <f>INDEX(tblMatières[Reported quantity (tonnes)],MATCH($C43,tblMatières[Material],0))</f>
        <v>1674.4069999999999</v>
      </c>
      <c r="H43" s="684">
        <f>SUM('Admin expenses &amp; R-Q'!G42:G43)</f>
        <v>770670.28940295707</v>
      </c>
      <c r="I43" s="686">
        <f>SUM('Factor 1'!H42:H43)</f>
        <v>2702792.5500392755</v>
      </c>
      <c r="J43" s="688">
        <f>SUM('Factor 2'!J42:J43)</f>
        <v>663035.70518563152</v>
      </c>
      <c r="K43" s="690">
        <f>SUM('Factor 3'!L42:L43)</f>
        <v>236742.27937800655</v>
      </c>
      <c r="L43" s="692">
        <f>SUM('Fees hike cap'!L42:L43)</f>
        <v>54269.080151308866</v>
      </c>
      <c r="M43" s="692">
        <f>'Credit recycled content'!K38+'Credit recycled content'!K39</f>
        <v>0</v>
      </c>
      <c r="N43" s="702">
        <f>SUM(Parameters!F74:F75)</f>
        <v>-305276.73551999941</v>
      </c>
      <c r="O43" s="700">
        <f>SUM(H43:N44)</f>
        <v>4122233.1686371798</v>
      </c>
      <c r="P43" s="562">
        <f>ROUND(O43 /SUM(Fees!G43:G44),2)</f>
        <v>144.21</v>
      </c>
    </row>
    <row r="44" spans="2:16" ht="15">
      <c r="B44" s="46"/>
      <c r="C44" s="37" t="str">
        <f>INDEX(ListeMatières,28)</f>
        <v>Other steel containers</v>
      </c>
      <c r="D44" s="559">
        <f>INDEX(tblMatières[Generated quantity  
(tonnes)],MATCH($C44,tblMatières[Material],0))</f>
        <v>26909.557000000001</v>
      </c>
      <c r="E44" s="560">
        <f>INDEX(tblMatières[Recovered quantity  (tonnes)],MATCH($C44,tblMatières[Material],0))</f>
        <v>15062.447967705493</v>
      </c>
      <c r="F44" s="560">
        <f>D44-E44</f>
        <v>11847.109032294507</v>
      </c>
      <c r="G44" s="561">
        <f>INDEX(tblMatières[Reported quantity (tonnes)],MATCH($C44,tblMatières[Material],0))</f>
        <v>26909.557000000001</v>
      </c>
      <c r="H44" s="685"/>
      <c r="I44" s="687"/>
      <c r="J44" s="689"/>
      <c r="K44" s="691"/>
      <c r="L44" s="693"/>
      <c r="M44" s="693"/>
      <c r="N44" s="703"/>
      <c r="O44" s="701"/>
      <c r="P44" s="562">
        <f>P43</f>
        <v>144.21</v>
      </c>
    </row>
    <row r="45" spans="2:16" ht="15">
      <c r="B45" s="43" t="str">
        <f>'Executive Summary'!A43</f>
        <v>TOTAL - Steel</v>
      </c>
      <c r="C45" s="10"/>
      <c r="D45" s="60">
        <f t="shared" ref="D45:O45" si="8">SUBTOTAL(9,D43:D44)</f>
        <v>28583.964</v>
      </c>
      <c r="E45" s="22">
        <f t="shared" si="8"/>
        <v>15372.614229377315</v>
      </c>
      <c r="F45" s="22">
        <f t="shared" si="8"/>
        <v>13211.349770622684</v>
      </c>
      <c r="G45" s="29">
        <f t="shared" si="8"/>
        <v>28583.964</v>
      </c>
      <c r="H45" s="494">
        <f t="shared" si="8"/>
        <v>770670.28940295707</v>
      </c>
      <c r="I45" s="494">
        <f t="shared" si="8"/>
        <v>2702792.5500392755</v>
      </c>
      <c r="J45" s="494">
        <f t="shared" si="8"/>
        <v>663035.70518563152</v>
      </c>
      <c r="K45" s="494">
        <f t="shared" si="8"/>
        <v>236742.27937800655</v>
      </c>
      <c r="L45" s="494">
        <f t="shared" si="8"/>
        <v>54269.080151308866</v>
      </c>
      <c r="M45" s="494">
        <f t="shared" si="8"/>
        <v>0</v>
      </c>
      <c r="N45" s="494">
        <f t="shared" si="8"/>
        <v>-305276.73551999941</v>
      </c>
      <c r="O45" s="611">
        <f t="shared" si="8"/>
        <v>4122233.1686371798</v>
      </c>
      <c r="P45" s="535">
        <f>SUMPRODUCT(P43:P44,G43:G44)/SUM(G43:G44)</f>
        <v>144.21</v>
      </c>
    </row>
    <row r="46" spans="2:16" ht="15">
      <c r="B46" s="46" t="str">
        <f>'Executive Summary'!A44</f>
        <v>Glass</v>
      </c>
      <c r="C46" s="37" t="str">
        <f>INDEX(ListeMatières,29)</f>
        <v>Clear glass</v>
      </c>
      <c r="D46" s="58">
        <f>INDEX(tblMatières[Generated quantity  
(tonnes)],MATCH($C46,tblMatières[Material],0))</f>
        <v>54262.898999999998</v>
      </c>
      <c r="E46" s="26">
        <f>INDEX(tblMatières[Recovered quantity  (tonnes)],MATCH($C46,tblMatières[Material],0))</f>
        <v>41916.035629230697</v>
      </c>
      <c r="F46" s="26">
        <f>D46-E46</f>
        <v>12346.863370769301</v>
      </c>
      <c r="G46" s="48">
        <f>INDEX(tblMatières[Reported quantity (tonnes)],MATCH($C46,tblMatières[Material],0))</f>
        <v>54262.898999999998</v>
      </c>
      <c r="H46" s="563">
        <f>'Admin expenses &amp; R-Q'!G45</f>
        <v>182909.55771246707</v>
      </c>
      <c r="I46" s="564">
        <f>'Factor 1'!H45</f>
        <v>2525934.9660905404</v>
      </c>
      <c r="J46" s="565">
        <f>'Factor 2'!J45</f>
        <v>6164656.2029867638</v>
      </c>
      <c r="K46" s="566">
        <f>'Factor 3'!L45</f>
        <v>765801.4682867541</v>
      </c>
      <c r="L46" s="567">
        <f>'Fees hike cap'!L45</f>
        <v>-1734760.8153528033</v>
      </c>
      <c r="M46" s="567">
        <f>'Credit recycled content'!K41</f>
        <v>0</v>
      </c>
      <c r="N46" s="608">
        <f>Parameters!F76</f>
        <v>0</v>
      </c>
      <c r="O46" s="619">
        <f>SUM(H46:N46)</f>
        <v>7904541.3797237221</v>
      </c>
      <c r="P46" s="562">
        <f>ROUND(O46/G46,2)</f>
        <v>145.66999999999999</v>
      </c>
    </row>
    <row r="47" spans="2:16" ht="15">
      <c r="B47" s="46"/>
      <c r="C47" s="242" t="str">
        <f>INDEX(ListeMatières,30)</f>
        <v>Coloured glass</v>
      </c>
      <c r="D47" s="559">
        <f>INDEX(tblMatières[Generated quantity  
(tonnes)],MATCH($C47,tblMatières[Material],0))</f>
        <v>82425.142000000007</v>
      </c>
      <c r="E47" s="560">
        <f>INDEX(tblMatières[Recovered quantity  (tonnes)],MATCH($C47,tblMatières[Material],0))</f>
        <v>63670.302407108764</v>
      </c>
      <c r="F47" s="560">
        <f>D47-E47</f>
        <v>18754.839592891243</v>
      </c>
      <c r="G47" s="561">
        <f>INDEX(tblMatières[Reported quantity (tonnes)],MATCH($C47,tblMatières[Material],0))</f>
        <v>82425.142000000007</v>
      </c>
      <c r="H47" s="563">
        <f>'Admin expenses &amp; R-Q'!G46</f>
        <v>277838.9386753423</v>
      </c>
      <c r="I47" s="564">
        <f>'Factor 1'!H46</f>
        <v>3836885.829907062</v>
      </c>
      <c r="J47" s="565">
        <f>'Factor 2'!J46</f>
        <v>9418238.6593684349</v>
      </c>
      <c r="K47" s="566">
        <f>'Factor 3'!L46</f>
        <v>1169976.1927558873</v>
      </c>
      <c r="L47" s="567">
        <f>'Fees hike cap'!L46</f>
        <v>-3030709.7413765984</v>
      </c>
      <c r="M47" s="567">
        <f>'Credit recycled content'!K42</f>
        <v>0</v>
      </c>
      <c r="N47" s="608">
        <f>Parameters!F77</f>
        <v>0</v>
      </c>
      <c r="O47" s="620">
        <f>SUM(H47:N47)</f>
        <v>11672229.879330128</v>
      </c>
      <c r="P47" s="562">
        <f>ROUND(O47/G47,2)</f>
        <v>141.61000000000001</v>
      </c>
    </row>
    <row r="48" spans="2:16" s="6" customFormat="1" ht="15.75" thickBot="1">
      <c r="B48" s="57" t="str">
        <f>'Executive Summary'!A46</f>
        <v>TOTAL - Glass</v>
      </c>
      <c r="C48" s="14"/>
      <c r="D48" s="214">
        <f t="shared" ref="D48:K48" si="9">SUBTOTAL(9,D46:D47)</f>
        <v>136688.041</v>
      </c>
      <c r="E48" s="220">
        <f t="shared" si="9"/>
        <v>105586.33803633947</v>
      </c>
      <c r="F48" s="220">
        <f t="shared" si="9"/>
        <v>31101.702963660544</v>
      </c>
      <c r="G48" s="547">
        <f t="shared" si="9"/>
        <v>136688.041</v>
      </c>
      <c r="H48" s="496">
        <f t="shared" si="9"/>
        <v>460748.4963878094</v>
      </c>
      <c r="I48" s="496">
        <f t="shared" si="9"/>
        <v>6362820.7959976029</v>
      </c>
      <c r="J48" s="496">
        <f t="shared" si="9"/>
        <v>15582894.862355199</v>
      </c>
      <c r="K48" s="496">
        <f t="shared" si="9"/>
        <v>1935777.6610426414</v>
      </c>
      <c r="L48" s="496">
        <f t="shared" ref="L48:O48" si="10">SUBTOTAL(9,L46:L47)</f>
        <v>-4765470.5567294015</v>
      </c>
      <c r="M48" s="496">
        <f t="shared" si="10"/>
        <v>0</v>
      </c>
      <c r="N48" s="496">
        <f t="shared" ref="N48" si="11">SUBTOTAL(9,N46:N47)</f>
        <v>0</v>
      </c>
      <c r="O48" s="613">
        <f t="shared" si="10"/>
        <v>19576771.259053849</v>
      </c>
      <c r="P48" s="548">
        <f>SUMPRODUCT(P46:P47,G46:G47)/SUM(G46:G47)</f>
        <v>143.22175307165315</v>
      </c>
    </row>
    <row r="49" spans="2:16" s="6" customFormat="1" ht="16.5" thickTop="1" thickBot="1">
      <c r="B49" s="56" t="str">
        <f>'Executive Summary'!A47</f>
        <v>TOTAL - CONTAINERS AND PACKAGING</v>
      </c>
      <c r="C49" s="23"/>
      <c r="D49" s="290">
        <f>SUBTOTAL(9,D20:D48)</f>
        <v>483750.19400000002</v>
      </c>
      <c r="E49" s="545">
        <f t="shared" ref="E49:K49" si="12">SUBTOTAL(9,E20:E48)</f>
        <v>278117.2121324644</v>
      </c>
      <c r="F49" s="545">
        <f t="shared" si="12"/>
        <v>205632.98186753556</v>
      </c>
      <c r="G49" s="546">
        <f t="shared" si="12"/>
        <v>483750.19400000002</v>
      </c>
      <c r="H49" s="495">
        <f t="shared" si="12"/>
        <v>7160978.9672236154</v>
      </c>
      <c r="I49" s="495">
        <f t="shared" si="12"/>
        <v>42068622.894974716</v>
      </c>
      <c r="J49" s="495">
        <f t="shared" si="12"/>
        <v>42068622.894974723</v>
      </c>
      <c r="K49" s="495">
        <f t="shared" si="12"/>
        <v>21034311.447487362</v>
      </c>
      <c r="L49" s="495">
        <f t="shared" ref="L49:O49" si="13">SUBTOTAL(9,L20:L48)</f>
        <v>0</v>
      </c>
      <c r="M49" s="495">
        <f t="shared" si="13"/>
        <v>123694.65005073452</v>
      </c>
      <c r="N49" s="495">
        <f t="shared" ref="N49" si="14">SUBTOTAL(9,N20:N48)</f>
        <v>-3425492.0818699952</v>
      </c>
      <c r="O49" s="610">
        <f t="shared" si="13"/>
        <v>109030738.77284119</v>
      </c>
      <c r="P49" s="536">
        <f>(P27*G27 + P39*G39 + P42*G42 + P45*G45 + P48*G48) / G49</f>
        <v>225.38567376200632</v>
      </c>
    </row>
    <row r="50" spans="2:16" ht="6" customHeight="1">
      <c r="B50" s="38"/>
      <c r="D50" s="38"/>
      <c r="G50" s="8"/>
      <c r="H50" s="302"/>
      <c r="I50" s="307"/>
      <c r="J50" s="307"/>
      <c r="K50" s="307"/>
      <c r="L50" s="302"/>
      <c r="M50" s="302"/>
      <c r="N50" s="302"/>
      <c r="O50" s="616"/>
      <c r="P50" s="533"/>
    </row>
    <row r="51" spans="2:16" s="6" customFormat="1" ht="15.75" thickBot="1">
      <c r="B51" s="57" t="str">
        <f>'Executive Summary'!A49</f>
        <v>TOTAL</v>
      </c>
      <c r="C51" s="14"/>
      <c r="D51" s="62">
        <f>SUBTOTAL(9,D11:D49)</f>
        <v>644994.44999999995</v>
      </c>
      <c r="E51" s="25">
        <f t="shared" ref="E51:O51" si="15">SUBTOTAL(9,E11:E49)</f>
        <v>406590.86812763795</v>
      </c>
      <c r="F51" s="25">
        <f t="shared" si="15"/>
        <v>238403.58187236209</v>
      </c>
      <c r="G51" s="31">
        <f t="shared" si="15"/>
        <v>644994.44999999995</v>
      </c>
      <c r="H51" s="496">
        <f t="shared" si="15"/>
        <v>8599203.2456678059</v>
      </c>
      <c r="I51" s="496">
        <f t="shared" si="15"/>
        <v>53419544.788750939</v>
      </c>
      <c r="J51" s="496">
        <f t="shared" si="15"/>
        <v>53419544.788750932</v>
      </c>
      <c r="K51" s="496">
        <f t="shared" si="15"/>
        <v>26709772.394375466</v>
      </c>
      <c r="L51" s="496">
        <f t="shared" si="15"/>
        <v>0</v>
      </c>
      <c r="M51" s="496">
        <f t="shared" si="15"/>
        <v>577738.23907943652</v>
      </c>
      <c r="N51" s="496">
        <f t="shared" si="15"/>
        <v>-3425492.0818699952</v>
      </c>
      <c r="O51" s="613">
        <f t="shared" si="15"/>
        <v>139300311.37475461</v>
      </c>
      <c r="P51" s="534">
        <f>(P17*G17 + P49*G49)/G51</f>
        <v>215.96968531619348</v>
      </c>
    </row>
    <row r="52" spans="2:16" ht="15" thickTop="1">
      <c r="B52" s="37"/>
      <c r="H52" s="37"/>
    </row>
    <row r="53" spans="2:16">
      <c r="H53" s="37"/>
    </row>
    <row r="54" spans="2:16">
      <c r="H54" s="37"/>
    </row>
    <row r="55" spans="2:16">
      <c r="C55" s="37"/>
      <c r="D55" s="456"/>
      <c r="H55" s="37"/>
    </row>
    <row r="56" spans="2:16">
      <c r="D56" s="456"/>
      <c r="H56" s="37"/>
    </row>
    <row r="57" spans="2:16">
      <c r="H57" s="37"/>
    </row>
    <row r="58" spans="2:16">
      <c r="H58" s="37"/>
    </row>
    <row r="59" spans="2:16">
      <c r="H59" s="37"/>
    </row>
    <row r="60" spans="2:16">
      <c r="H60" s="37"/>
    </row>
    <row r="61" spans="2:16">
      <c r="H61" s="37"/>
    </row>
    <row r="62" spans="2:16">
      <c r="H62" s="37"/>
    </row>
    <row r="63" spans="2:16">
      <c r="H63" s="37"/>
    </row>
    <row r="64" spans="2:16">
      <c r="H64" s="37"/>
    </row>
    <row r="65" spans="8:8">
      <c r="H65" s="37"/>
    </row>
    <row r="66" spans="8:8">
      <c r="H66" s="37"/>
    </row>
    <row r="67" spans="8:8">
      <c r="H67" s="37"/>
    </row>
    <row r="68" spans="8:8">
      <c r="H68" s="37"/>
    </row>
    <row r="69" spans="8:8">
      <c r="H69" s="37"/>
    </row>
    <row r="70" spans="8:8">
      <c r="H70" s="37"/>
    </row>
    <row r="71" spans="8:8">
      <c r="H71" s="37"/>
    </row>
    <row r="72" spans="8:8">
      <c r="H72" s="37"/>
    </row>
    <row r="73" spans="8:8">
      <c r="H73" s="37"/>
    </row>
    <row r="74" spans="8:8">
      <c r="H74" s="37"/>
    </row>
    <row r="75" spans="8:8">
      <c r="H75" s="37"/>
    </row>
    <row r="76" spans="8:8">
      <c r="H76" s="37"/>
    </row>
    <row r="77" spans="8:8">
      <c r="H77" s="37"/>
    </row>
    <row r="78" spans="8:8">
      <c r="H78" s="37"/>
    </row>
    <row r="79" spans="8:8">
      <c r="H79" s="37"/>
    </row>
    <row r="80" spans="8:8">
      <c r="H80" s="37"/>
    </row>
    <row r="81" spans="8:8">
      <c r="H81" s="37"/>
    </row>
    <row r="82" spans="8:8">
      <c r="H82" s="37"/>
    </row>
    <row r="83" spans="8:8">
      <c r="H83" s="37"/>
    </row>
    <row r="84" spans="8:8">
      <c r="H84" s="37"/>
    </row>
    <row r="85" spans="8:8">
      <c r="H85" s="37"/>
    </row>
    <row r="86" spans="8:8">
      <c r="H86" s="37"/>
    </row>
    <row r="87" spans="8:8">
      <c r="H87" s="37"/>
    </row>
    <row r="88" spans="8:8">
      <c r="H88" s="37"/>
    </row>
    <row r="89" spans="8:8">
      <c r="H89" s="37"/>
    </row>
    <row r="90" spans="8:8">
      <c r="H90" s="37"/>
    </row>
    <row r="91" spans="8:8">
      <c r="H91" s="37"/>
    </row>
    <row r="92" spans="8:8">
      <c r="H92" s="37"/>
    </row>
    <row r="93" spans="8:8">
      <c r="H93" s="37"/>
    </row>
    <row r="94" spans="8:8">
      <c r="H94" s="37"/>
    </row>
    <row r="95" spans="8:8">
      <c r="H95" s="37"/>
    </row>
    <row r="96" spans="8:8">
      <c r="H96" s="37"/>
    </row>
    <row r="97" spans="8:8">
      <c r="H97" s="37"/>
    </row>
    <row r="98" spans="8:8">
      <c r="H98" s="37"/>
    </row>
    <row r="99" spans="8:8">
      <c r="H99" s="37"/>
    </row>
    <row r="100" spans="8:8">
      <c r="H100" s="37"/>
    </row>
    <row r="101" spans="8:8">
      <c r="H101" s="37"/>
    </row>
    <row r="102" spans="8:8">
      <c r="H102" s="37"/>
    </row>
    <row r="103" spans="8:8">
      <c r="H103" s="37"/>
    </row>
    <row r="104" spans="8:8">
      <c r="H104" s="37"/>
    </row>
    <row r="105" spans="8:8">
      <c r="H105" s="37"/>
    </row>
    <row r="106" spans="8:8">
      <c r="H106" s="37"/>
    </row>
    <row r="107" spans="8:8">
      <c r="H107" s="37"/>
    </row>
    <row r="108" spans="8:8">
      <c r="H108" s="37"/>
    </row>
    <row r="109" spans="8:8">
      <c r="H109" s="37"/>
    </row>
    <row r="110" spans="8:8">
      <c r="H110" s="37"/>
    </row>
    <row r="111" spans="8:8">
      <c r="H111" s="37"/>
    </row>
    <row r="112" spans="8:8">
      <c r="H112" s="37"/>
    </row>
    <row r="113" spans="8:8">
      <c r="H113" s="37"/>
    </row>
    <row r="114" spans="8:8">
      <c r="H114" s="37"/>
    </row>
    <row r="115" spans="8:8">
      <c r="H115" s="37"/>
    </row>
    <row r="116" spans="8:8">
      <c r="H116" s="37"/>
    </row>
    <row r="117" spans="8:8">
      <c r="H117" s="37"/>
    </row>
    <row r="118" spans="8:8">
      <c r="H118" s="37"/>
    </row>
    <row r="119" spans="8:8">
      <c r="H119" s="37"/>
    </row>
    <row r="120" spans="8:8">
      <c r="H120" s="37"/>
    </row>
    <row r="121" spans="8:8">
      <c r="H121" s="37"/>
    </row>
    <row r="122" spans="8:8">
      <c r="H122" s="37"/>
    </row>
    <row r="123" spans="8:8">
      <c r="H123" s="37"/>
    </row>
    <row r="124" spans="8:8">
      <c r="H124" s="37"/>
    </row>
    <row r="125" spans="8:8">
      <c r="H125" s="37"/>
    </row>
    <row r="126" spans="8:8">
      <c r="H126" s="37"/>
    </row>
    <row r="127" spans="8:8">
      <c r="H127" s="37"/>
    </row>
    <row r="128" spans="8:8">
      <c r="H128" s="37"/>
    </row>
    <row r="129" spans="8:8">
      <c r="H129" s="37"/>
    </row>
    <row r="130" spans="8:8">
      <c r="H130" s="37"/>
    </row>
    <row r="131" spans="8:8">
      <c r="H131" s="37"/>
    </row>
    <row r="132" spans="8:8">
      <c r="H132" s="37"/>
    </row>
    <row r="133" spans="8:8">
      <c r="H133" s="37"/>
    </row>
    <row r="134" spans="8:8">
      <c r="H134" s="37"/>
    </row>
    <row r="135" spans="8:8">
      <c r="H135" s="37"/>
    </row>
    <row r="136" spans="8:8">
      <c r="H136" s="37"/>
    </row>
    <row r="137" spans="8:8">
      <c r="H137" s="37"/>
    </row>
    <row r="138" spans="8:8">
      <c r="H138" s="37"/>
    </row>
    <row r="139" spans="8:8">
      <c r="H139" s="37"/>
    </row>
    <row r="140" spans="8:8">
      <c r="H140" s="37"/>
    </row>
    <row r="141" spans="8:8">
      <c r="H141" s="37"/>
    </row>
    <row r="142" spans="8:8">
      <c r="H142" s="37"/>
    </row>
    <row r="143" spans="8:8">
      <c r="H143" s="37"/>
    </row>
    <row r="144" spans="8:8">
      <c r="H144" s="37"/>
    </row>
    <row r="145" spans="8:8">
      <c r="H145" s="37"/>
    </row>
    <row r="146" spans="8:8">
      <c r="H146" s="37"/>
    </row>
    <row r="147" spans="8:8">
      <c r="H147" s="37"/>
    </row>
    <row r="148" spans="8:8">
      <c r="H148" s="37"/>
    </row>
    <row r="149" spans="8:8">
      <c r="H149" s="37"/>
    </row>
    <row r="150" spans="8:8">
      <c r="H150" s="37"/>
    </row>
    <row r="151" spans="8:8">
      <c r="H151" s="37"/>
    </row>
    <row r="152" spans="8:8">
      <c r="H152" s="37"/>
    </row>
    <row r="153" spans="8:8">
      <c r="H153" s="37"/>
    </row>
    <row r="154" spans="8:8">
      <c r="H154" s="37"/>
    </row>
    <row r="155" spans="8:8">
      <c r="H155" s="37"/>
    </row>
    <row r="156" spans="8:8">
      <c r="H156" s="37"/>
    </row>
    <row r="157" spans="8:8">
      <c r="H157" s="37"/>
    </row>
    <row r="158" spans="8:8">
      <c r="H158" s="37"/>
    </row>
    <row r="159" spans="8:8">
      <c r="H159" s="37"/>
    </row>
    <row r="160" spans="8:8">
      <c r="H160" s="37"/>
    </row>
    <row r="161" spans="8:8">
      <c r="H161" s="37"/>
    </row>
    <row r="162" spans="8:8">
      <c r="H162" s="37"/>
    </row>
    <row r="163" spans="8:8">
      <c r="H163" s="37"/>
    </row>
    <row r="164" spans="8:8">
      <c r="H164" s="37"/>
    </row>
    <row r="165" spans="8:8">
      <c r="H165" s="37"/>
    </row>
    <row r="166" spans="8:8">
      <c r="H166" s="37"/>
    </row>
    <row r="167" spans="8:8">
      <c r="H167" s="37"/>
    </row>
    <row r="168" spans="8:8">
      <c r="H168" s="37"/>
    </row>
    <row r="169" spans="8:8">
      <c r="H169" s="37"/>
    </row>
    <row r="170" spans="8:8">
      <c r="H170" s="37"/>
    </row>
    <row r="171" spans="8:8">
      <c r="H171" s="37"/>
    </row>
    <row r="172" spans="8:8">
      <c r="H172" s="37"/>
    </row>
    <row r="173" spans="8:8">
      <c r="H173" s="37"/>
    </row>
    <row r="174" spans="8:8">
      <c r="H174" s="37"/>
    </row>
    <row r="175" spans="8:8">
      <c r="H175" s="37"/>
    </row>
    <row r="176" spans="8:8">
      <c r="H176" s="37"/>
    </row>
    <row r="177" spans="8:8">
      <c r="H177" s="37"/>
    </row>
    <row r="178" spans="8:8">
      <c r="H178" s="37"/>
    </row>
    <row r="179" spans="8:8">
      <c r="H179" s="37"/>
    </row>
    <row r="180" spans="8:8">
      <c r="H180" s="37"/>
    </row>
    <row r="181" spans="8:8">
      <c r="H181" s="37"/>
    </row>
    <row r="182" spans="8:8">
      <c r="H182" s="37"/>
    </row>
    <row r="183" spans="8:8">
      <c r="H183" s="37"/>
    </row>
    <row r="184" spans="8:8">
      <c r="H184" s="37"/>
    </row>
    <row r="185" spans="8:8">
      <c r="H185" s="37"/>
    </row>
    <row r="186" spans="8:8">
      <c r="H186" s="37"/>
    </row>
    <row r="187" spans="8:8">
      <c r="H187" s="37"/>
    </row>
    <row r="188" spans="8:8">
      <c r="H188" s="37"/>
    </row>
    <row r="189" spans="8:8">
      <c r="H189" s="37"/>
    </row>
    <row r="190" spans="8:8">
      <c r="H190" s="37"/>
    </row>
    <row r="191" spans="8:8">
      <c r="H191" s="37"/>
    </row>
    <row r="192" spans="8:8">
      <c r="H192" s="37"/>
    </row>
    <row r="193" spans="8:8">
      <c r="H193" s="37"/>
    </row>
    <row r="194" spans="8:8">
      <c r="H194" s="37"/>
    </row>
    <row r="195" spans="8:8">
      <c r="H195" s="37"/>
    </row>
    <row r="196" spans="8:8">
      <c r="H196" s="37"/>
    </row>
    <row r="197" spans="8:8">
      <c r="H197" s="37"/>
    </row>
  </sheetData>
  <sheetProtection password="82A0" sheet="1" objects="1" scenarios="1"/>
  <dataConsolidate link="1"/>
  <mergeCells count="46">
    <mergeCell ref="J30:J32"/>
    <mergeCell ref="I30:I32"/>
    <mergeCell ref="H30:H32"/>
    <mergeCell ref="K20:K22"/>
    <mergeCell ref="J20:J22"/>
    <mergeCell ref="I20:I22"/>
    <mergeCell ref="H20:H22"/>
    <mergeCell ref="N40:N41"/>
    <mergeCell ref="O43:O44"/>
    <mergeCell ref="M20:M22"/>
    <mergeCell ref="M30:M32"/>
    <mergeCell ref="M43:M44"/>
    <mergeCell ref="N43:N44"/>
    <mergeCell ref="O20:O22"/>
    <mergeCell ref="O30:O32"/>
    <mergeCell ref="O33:O35"/>
    <mergeCell ref="O40:O41"/>
    <mergeCell ref="H36:O36"/>
    <mergeCell ref="H37:O37"/>
    <mergeCell ref="N20:N22"/>
    <mergeCell ref="N30:N32"/>
    <mergeCell ref="N33:N35"/>
    <mergeCell ref="K30:K32"/>
    <mergeCell ref="L43:L44"/>
    <mergeCell ref="M40:M41"/>
    <mergeCell ref="L20:L22"/>
    <mergeCell ref="L30:L32"/>
    <mergeCell ref="L40:L41"/>
    <mergeCell ref="H43:H44"/>
    <mergeCell ref="I43:I44"/>
    <mergeCell ref="J43:J44"/>
    <mergeCell ref="K43:K44"/>
    <mergeCell ref="K40:K41"/>
    <mergeCell ref="H40:H41"/>
    <mergeCell ref="I40:I41"/>
    <mergeCell ref="J40:J41"/>
    <mergeCell ref="D7:G7"/>
    <mergeCell ref="K12:K16"/>
    <mergeCell ref="H12:H16"/>
    <mergeCell ref="I12:I16"/>
    <mergeCell ref="J12:J16"/>
    <mergeCell ref="H7:O7"/>
    <mergeCell ref="N12:N16"/>
    <mergeCell ref="O12:O16"/>
    <mergeCell ref="L12:L16"/>
    <mergeCell ref="M12:M16"/>
  </mergeCells>
  <pageMargins left="0.7" right="0.7" top="0.75" bottom="0.75" header="0.3" footer="0.3"/>
  <pageSetup scale="51" fitToHeight="0" orientation="landscape" r:id="rId1"/>
  <colBreaks count="1" manualBreakCount="1">
    <brk id="7" min="1" max="49" man="1"/>
  </colBreaks>
  <ignoredErrors>
    <ignoredError sqref="C17 B47 C27 C48 B16 B11 B13:C13 B14 B26 C20 B21 B22:C22 B23 B24:C24 B25 B18:C18 C19 C10:G10" formula="1"/>
    <ignoredError sqref="N20 N30 N40 N43 N12" formulaRange="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K558"/>
  <sheetViews>
    <sheetView showGridLines="0" view="pageBreakPreview" zoomScale="80" zoomScaleNormal="90" zoomScaleSheetLayoutView="80" workbookViewId="0">
      <pane xSplit="2" ySplit="7" topLeftCell="C8" activePane="bottomRight" state="frozen"/>
      <selection activeCell="C18" sqref="C18"/>
      <selection pane="topRight" activeCell="C18" sqref="C18"/>
      <selection pane="bottomLeft" activeCell="C18" sqref="C18"/>
      <selection pane="bottomRight" activeCell="D11" sqref="D11"/>
    </sheetView>
  </sheetViews>
  <sheetFormatPr baseColWidth="10" defaultColWidth="9.140625" defaultRowHeight="15"/>
  <cols>
    <col min="1" max="1" width="25.140625" customWidth="1"/>
    <col min="2" max="2" width="52.140625" bestFit="1" customWidth="1"/>
    <col min="3" max="3" width="20.85546875" bestFit="1" customWidth="1"/>
    <col min="4" max="4" width="19" bestFit="1" customWidth="1"/>
    <col min="5" max="5" width="21" bestFit="1" customWidth="1"/>
    <col min="6" max="6" width="21" customWidth="1"/>
    <col min="7" max="7" width="19.5703125" customWidth="1"/>
    <col min="8" max="8" width="19.7109375" bestFit="1" customWidth="1"/>
    <col min="9" max="9" width="14.140625" customWidth="1"/>
    <col min="10" max="10" width="10.85546875" customWidth="1"/>
    <col min="11" max="11" width="11.7109375" customWidth="1"/>
  </cols>
  <sheetData>
    <row r="1" spans="1:11" s="159" customFormat="1" ht="16.5" thickBot="1">
      <c r="A1" s="444" t="s">
        <v>11</v>
      </c>
      <c r="B1" s="36"/>
      <c r="E1" s="182"/>
      <c r="F1" s="182"/>
    </row>
    <row r="2" spans="1:11" ht="15.75" thickBot="1">
      <c r="A2" s="35"/>
      <c r="B2" s="35"/>
      <c r="E2" s="16"/>
      <c r="F2" s="16"/>
    </row>
    <row r="3" spans="1:11" ht="18.75" thickBot="1">
      <c r="A3" s="93" t="str">
        <f>Parameters!B4</f>
        <v>Schedule</v>
      </c>
      <c r="B3" s="94">
        <f>AnnéeTarif</f>
        <v>2015</v>
      </c>
      <c r="C3" s="246"/>
      <c r="D3" s="248"/>
      <c r="E3" s="247"/>
      <c r="F3" s="247"/>
      <c r="G3" s="248"/>
      <c r="H3" s="248"/>
      <c r="I3" s="248"/>
      <c r="J3" s="248"/>
      <c r="K3" s="248"/>
    </row>
    <row r="4" spans="1:11" ht="18.75" thickBot="1">
      <c r="A4" s="93" t="str">
        <f>Parameters!B5</f>
        <v>Scenario</v>
      </c>
      <c r="B4" s="245" t="str">
        <f>Parameters!C5</f>
        <v>Final July 2016</v>
      </c>
      <c r="C4" s="248"/>
      <c r="E4" s="16"/>
      <c r="F4" s="16"/>
    </row>
    <row r="5" spans="1:11" ht="18.75" thickBot="1">
      <c r="A5" s="93" t="str">
        <f>Parameters!B6</f>
        <v>Reference Year</v>
      </c>
      <c r="B5" s="94">
        <f>AnnéeRéf</f>
        <v>2014</v>
      </c>
      <c r="C5" s="158"/>
      <c r="D5" s="341"/>
      <c r="E5" s="341"/>
      <c r="F5" s="341"/>
      <c r="G5" s="341"/>
      <c r="H5" s="341"/>
      <c r="I5" s="159"/>
      <c r="J5" s="159"/>
      <c r="K5" s="159"/>
    </row>
    <row r="6" spans="1:11" ht="15.75" customHeight="1">
      <c r="A6" s="105"/>
      <c r="B6" s="105"/>
      <c r="C6" s="640" t="s">
        <v>17</v>
      </c>
      <c r="D6" s="641"/>
      <c r="E6" s="641"/>
      <c r="F6" s="641"/>
      <c r="G6" s="641"/>
      <c r="H6" s="642"/>
      <c r="I6" s="175" t="s">
        <v>18</v>
      </c>
      <c r="J6" s="640" t="s">
        <v>9</v>
      </c>
      <c r="K6" s="642"/>
    </row>
    <row r="7" spans="1:11" ht="45">
      <c r="A7" s="42" t="s">
        <v>63</v>
      </c>
      <c r="B7" s="9" t="s">
        <v>64</v>
      </c>
      <c r="C7" s="185" t="s">
        <v>19</v>
      </c>
      <c r="D7" s="169" t="s">
        <v>20</v>
      </c>
      <c r="E7" s="169" t="s">
        <v>21</v>
      </c>
      <c r="F7" s="285" t="s">
        <v>22</v>
      </c>
      <c r="G7" s="169" t="s">
        <v>23</v>
      </c>
      <c r="H7" s="266" t="s">
        <v>24</v>
      </c>
      <c r="I7" s="169" t="s">
        <v>25</v>
      </c>
      <c r="J7" s="185" t="s">
        <v>26</v>
      </c>
      <c r="K7" s="266" t="s">
        <v>6</v>
      </c>
    </row>
    <row r="8" spans="1:11">
      <c r="A8" s="43" t="s">
        <v>27</v>
      </c>
      <c r="B8" s="11"/>
      <c r="C8" s="162"/>
      <c r="D8" s="142"/>
      <c r="E8" s="142"/>
      <c r="F8" s="142"/>
      <c r="G8" s="142"/>
      <c r="H8" s="143"/>
      <c r="I8" s="142"/>
      <c r="J8" s="162"/>
      <c r="K8" s="143"/>
    </row>
    <row r="9" spans="1:11">
      <c r="A9" s="63"/>
      <c r="B9" s="37" t="str">
        <f>INDEX(ListeMatières,1)</f>
        <v>Newsprint inserts and circulars</v>
      </c>
      <c r="C9" s="280">
        <f>INDEX(tblMatières[Reported quantity (tonnes)],MATCH($B9,tblMatières[Material],0))</f>
        <v>100503.348</v>
      </c>
      <c r="D9" s="176">
        <f>INDEX(tblMatières[Generated quantity  
(tonnes)],MATCH($B9,tblMatières[Material],0))</f>
        <v>100503.348</v>
      </c>
      <c r="E9" s="176">
        <f>INDEX(tblMatières[Recovered quantity  (tonnes)],MATCH($B9,tblMatières[Material],0))</f>
        <v>85864.816326250861</v>
      </c>
      <c r="F9" s="176">
        <f>D9-E9</f>
        <v>14638.531673749138</v>
      </c>
      <c r="G9" s="157">
        <f>INDEX(tblMatières[% recovery],MATCH($B9,tblMatières[Material],0))</f>
        <v>0.85434782059450265</v>
      </c>
      <c r="H9" s="342">
        <f>INDEX(tblMatières[Net cost],MATCH($B9,tblMatières[Material],0))</f>
        <v>94.395819569791769</v>
      </c>
      <c r="I9" s="347">
        <f t="shared" ref="I9:I14" si="0">INDEX(rgTarif_TxFinal,MATCH($B9,rgTarif_Matières,0))</f>
        <v>160.44</v>
      </c>
      <c r="J9" s="106">
        <v>151.00551908644388</v>
      </c>
      <c r="K9" s="399">
        <f t="shared" ref="K9:K15" si="1">IF(J9&gt;0,I9/J9-1,0)</f>
        <v>6.2477722474205022E-2</v>
      </c>
    </row>
    <row r="10" spans="1:11">
      <c r="A10" s="38"/>
      <c r="B10" s="37" t="str">
        <f>INDEX(ListeMatières,2)</f>
        <v>Catalogues and publications</v>
      </c>
      <c r="C10" s="163">
        <f>INDEX(tblMatières[Reported quantity (tonnes)],MATCH($B10,tblMatières[Material],0))</f>
        <v>16909.731</v>
      </c>
      <c r="D10" s="176">
        <f>INDEX(tblMatières[Generated quantity  
(tonnes)],MATCH($B10,tblMatières[Material],0))</f>
        <v>16909.731</v>
      </c>
      <c r="E10" s="176">
        <f>INDEX(tblMatières[Recovered quantity  (tonnes)],MATCH($B10,tblMatières[Material],0))</f>
        <v>13561.464056479286</v>
      </c>
      <c r="F10" s="176">
        <f t="shared" ref="F10:F15" si="2">D10-E10</f>
        <v>3348.2669435207135</v>
      </c>
      <c r="G10" s="157">
        <f>INDEX(tblMatières[% recovery],MATCH($B10,tblMatières[Material],0))</f>
        <v>0.80199170858952673</v>
      </c>
      <c r="H10" s="342">
        <f>INDEX(tblMatières[Net cost],MATCH($B10,tblMatières[Material],0))</f>
        <v>93.239891555735525</v>
      </c>
      <c r="I10" s="347">
        <f t="shared" si="0"/>
        <v>232.86</v>
      </c>
      <c r="J10" s="106">
        <v>225.34444049370475</v>
      </c>
      <c r="K10" s="399">
        <f t="shared" si="1"/>
        <v>3.3351430768957524E-2</v>
      </c>
    </row>
    <row r="11" spans="1:11">
      <c r="A11" s="38"/>
      <c r="B11" s="37" t="str">
        <f>INDEX(ListeMatières,3)</f>
        <v>Magazines</v>
      </c>
      <c r="C11" s="163">
        <f>INDEX(tblMatières[Reported quantity (tonnes)],MATCH($B11,tblMatières[Material],0))</f>
        <v>10816.571</v>
      </c>
      <c r="D11" s="176">
        <f>INDEX(tblMatières[Generated quantity  
(tonnes)],MATCH($B11,tblMatières[Material],0))</f>
        <v>10816.571</v>
      </c>
      <c r="E11" s="176">
        <f>INDEX(tblMatières[Recovered quantity  (tonnes)],MATCH($B11,tblMatières[Material],0))</f>
        <v>9110.2160408458858</v>
      </c>
      <c r="F11" s="176">
        <f t="shared" si="2"/>
        <v>1706.3549591541141</v>
      </c>
      <c r="G11" s="157">
        <f>INDEX(tblMatières[% recovery],MATCH($B11,tblMatières[Material],0))</f>
        <v>0.84224622025278495</v>
      </c>
      <c r="H11" s="342">
        <f>INDEX(tblMatières[Net cost],MATCH($B11,tblMatières[Material],0))</f>
        <v>90.789718789252021</v>
      </c>
      <c r="I11" s="347">
        <f t="shared" si="0"/>
        <v>232.86</v>
      </c>
      <c r="J11" s="106">
        <v>225.34444049370475</v>
      </c>
      <c r="K11" s="399">
        <f t="shared" si="1"/>
        <v>3.3351430768957524E-2</v>
      </c>
    </row>
    <row r="12" spans="1:11">
      <c r="A12" s="38"/>
      <c r="B12" s="37" t="str">
        <f>INDEX(ListeMatières,4)</f>
        <v>Telephone books</v>
      </c>
      <c r="C12" s="163">
        <f>INDEX(tblMatières[Reported quantity (tonnes)],MATCH($B12,tblMatières[Material],0))</f>
        <v>1956.9110000000001</v>
      </c>
      <c r="D12" s="176">
        <f>INDEX(tblMatières[Generated quantity  
(tonnes)],MATCH($B12,tblMatières[Material],0))</f>
        <v>1956.9110000000001</v>
      </c>
      <c r="E12" s="176">
        <f>INDEX(tblMatières[Recovered quantity  (tonnes)],MATCH($B12,tblMatières[Material],0))</f>
        <v>1761.6059678635033</v>
      </c>
      <c r="F12" s="176">
        <f t="shared" si="2"/>
        <v>195.30503213649672</v>
      </c>
      <c r="G12" s="157">
        <f>INDEX(tblMatières[% recovery],MATCH($B12,tblMatières[Material],0))</f>
        <v>0.90019728432386725</v>
      </c>
      <c r="H12" s="342">
        <f>INDEX(tblMatières[Net cost],MATCH($B12,tblMatières[Material],0))</f>
        <v>95.64482468551175</v>
      </c>
      <c r="I12" s="347">
        <f t="shared" si="0"/>
        <v>232.86</v>
      </c>
      <c r="J12" s="106">
        <v>225.34444049370475</v>
      </c>
      <c r="K12" s="399">
        <f t="shared" si="1"/>
        <v>3.3351430768957524E-2</v>
      </c>
    </row>
    <row r="13" spans="1:11">
      <c r="A13" s="38"/>
      <c r="B13" s="37" t="str">
        <f>INDEX(ListeMatières,5)</f>
        <v>Paper for general use</v>
      </c>
      <c r="C13" s="163">
        <f>INDEX(tblMatières[Reported quantity (tonnes)],MATCH($B13,tblMatières[Material],0))</f>
        <v>4514.6930000000002</v>
      </c>
      <c r="D13" s="176">
        <f>INDEX(tblMatières[Generated quantity  
(tonnes)],MATCH($B13,tblMatières[Material],0))</f>
        <v>4514.6930000000002</v>
      </c>
      <c r="E13" s="176">
        <f>INDEX(tblMatières[Recovered quantity  (tonnes)],MATCH($B13,tblMatières[Material],0))</f>
        <v>2990.2667386915787</v>
      </c>
      <c r="F13" s="176">
        <f t="shared" si="2"/>
        <v>1524.4262613084215</v>
      </c>
      <c r="G13" s="157">
        <f>INDEX(tblMatières[% recovery],MATCH($B13,tblMatières[Material],0))</f>
        <v>0.66234110241639432</v>
      </c>
      <c r="H13" s="342">
        <f>INDEX(tblMatières[Net cost],MATCH($B13,tblMatières[Material],0))</f>
        <v>96.536212132836539</v>
      </c>
      <c r="I13" s="347">
        <f t="shared" si="0"/>
        <v>232.86</v>
      </c>
      <c r="J13" s="106">
        <v>225.34444049370478</v>
      </c>
      <c r="K13" s="399">
        <f t="shared" si="1"/>
        <v>3.3351430768957302E-2</v>
      </c>
    </row>
    <row r="14" spans="1:11">
      <c r="A14" s="38"/>
      <c r="B14" s="37" t="str">
        <f>INDEX(ListeMatières,6)</f>
        <v>Other printed matter</v>
      </c>
      <c r="C14" s="163">
        <f>INDEX(tblMatières[Reported quantity (tonnes)],MATCH($B14,tblMatières[Material],0))</f>
        <v>26543.002</v>
      </c>
      <c r="D14" s="176">
        <f>INDEX(tblMatières[Generated quantity  
(tonnes)],MATCH($B14,tblMatières[Material],0))</f>
        <v>26543.002</v>
      </c>
      <c r="E14" s="176">
        <f>INDEX(tblMatières[Recovered quantity  (tonnes)],MATCH($B14,tblMatières[Material],0))</f>
        <v>15185.286865042328</v>
      </c>
      <c r="F14" s="176">
        <f t="shared" si="2"/>
        <v>11357.715134957672</v>
      </c>
      <c r="G14" s="157">
        <f>INDEX(tblMatières[% recovery],MATCH($B14,tblMatières[Material],0))</f>
        <v>0.57210133447009226</v>
      </c>
      <c r="H14" s="342">
        <f>INDEX(tblMatières[Net cost],MATCH($B14,tblMatières[Material],0))</f>
        <v>107.23962402961833</v>
      </c>
      <c r="I14" s="347">
        <f t="shared" si="0"/>
        <v>232.86</v>
      </c>
      <c r="J14" s="106">
        <v>225.34444049370475</v>
      </c>
      <c r="K14" s="399">
        <f t="shared" si="1"/>
        <v>3.3351430768957524E-2</v>
      </c>
    </row>
    <row r="15" spans="1:11" ht="15.75" thickBot="1">
      <c r="A15" s="55" t="s">
        <v>65</v>
      </c>
      <c r="B15" s="20"/>
      <c r="C15" s="164">
        <f>SUBTOTAL(9,C9:C14)</f>
        <v>161244.25599999999</v>
      </c>
      <c r="D15" s="177">
        <f t="shared" ref="D15:E15" si="3">SUBTOTAL(9,D9:D14)</f>
        <v>161244.25599999999</v>
      </c>
      <c r="E15" s="177">
        <f t="shared" si="3"/>
        <v>128473.65599517347</v>
      </c>
      <c r="F15" s="177">
        <f t="shared" si="2"/>
        <v>32770.600004826527</v>
      </c>
      <c r="G15" s="160">
        <f>E15/D15</f>
        <v>0.79676423323366929</v>
      </c>
      <c r="H15" s="343"/>
      <c r="I15" s="348">
        <f>INDEX(rgTarif_TxFinal,MATCH($A15,Fees!$B$11:$B$51,0))</f>
        <v>187.72070237342285</v>
      </c>
      <c r="J15" s="108">
        <v>183.72487976913857</v>
      </c>
      <c r="K15" s="400">
        <f t="shared" si="1"/>
        <v>2.174894662772564E-2</v>
      </c>
    </row>
    <row r="16" spans="1:11">
      <c r="A16" s="38"/>
      <c r="B16" s="35"/>
      <c r="C16" s="165"/>
      <c r="D16" s="178"/>
      <c r="E16" s="178"/>
      <c r="F16" s="178"/>
      <c r="G16" s="155"/>
      <c r="H16" s="344"/>
      <c r="I16" s="117"/>
      <c r="J16" s="116"/>
      <c r="K16" s="401"/>
    </row>
    <row r="17" spans="1:11">
      <c r="A17" s="43" t="s">
        <v>34</v>
      </c>
      <c r="B17" s="11"/>
      <c r="C17" s="166"/>
      <c r="D17" s="179"/>
      <c r="E17" s="179"/>
      <c r="F17" s="179"/>
      <c r="G17" s="156"/>
      <c r="H17" s="345"/>
      <c r="I17" s="142"/>
      <c r="J17" s="162"/>
      <c r="K17" s="402"/>
    </row>
    <row r="18" spans="1:11">
      <c r="A18" s="46" t="s">
        <v>35</v>
      </c>
      <c r="B18" s="37" t="str">
        <f>INDEX(ListeMatières,7)</f>
        <v>Corrugated cardboard</v>
      </c>
      <c r="C18" s="163">
        <f>INDEX(tblMatières[Reported quantity (tonnes)],MATCH($B18,tblMatières[Material],0))</f>
        <v>57170.796000000002</v>
      </c>
      <c r="D18" s="176">
        <f>INDEX(tblMatières[Generated quantity  
(tonnes)],MATCH($B18,tblMatières[Material],0))</f>
        <v>57170.796000000002</v>
      </c>
      <c r="E18" s="176">
        <f>INDEX(tblMatières[Recovered quantity  (tonnes)],MATCH($B18,tblMatières[Material],0))</f>
        <v>40535.693523257782</v>
      </c>
      <c r="F18" s="176">
        <f t="shared" ref="F18:F47" si="4">D18-E18</f>
        <v>16635.10247674222</v>
      </c>
      <c r="G18" s="157">
        <f>INDEX(tblMatières[% recovery],MATCH($B18,tblMatières[Material],0))</f>
        <v>0.70902797161085152</v>
      </c>
      <c r="H18" s="342">
        <f>INDEX(tblMatières[Net cost],MATCH($B18,tblMatières[Material],0))</f>
        <v>153.68613427780843</v>
      </c>
      <c r="I18" s="347">
        <f t="shared" ref="I18:I24" si="5">INDEX(rgTarif_TxFinal,MATCH($B18,rgTarif_Matières,0))</f>
        <v>185.93</v>
      </c>
      <c r="J18" s="106">
        <v>264.7024504051551</v>
      </c>
      <c r="K18" s="399">
        <f t="shared" ref="K18:K47" si="6">IF(J18&gt;0,I18/J18-1,0)</f>
        <v>-0.29758867091931163</v>
      </c>
    </row>
    <row r="19" spans="1:11">
      <c r="A19" s="46"/>
      <c r="B19" s="37" t="str">
        <f>INDEX(ListeMatières,8)</f>
        <v>Kraft paper shopping bags</v>
      </c>
      <c r="C19" s="163">
        <f>INDEX(tblMatières[Reported quantity (tonnes)],MATCH($B19,tblMatières[Material],0))</f>
        <v>2779.5329999999999</v>
      </c>
      <c r="D19" s="176">
        <f>INDEX(tblMatières[Generated quantity  
(tonnes)],MATCH($B19,tblMatières[Material],0))</f>
        <v>2779.5329999999999</v>
      </c>
      <c r="E19" s="176">
        <f>INDEX(tblMatières[Recovered quantity  (tonnes)],MATCH($B19,tblMatières[Material],0))</f>
        <v>954.88002661803682</v>
      </c>
      <c r="F19" s="176">
        <f t="shared" si="4"/>
        <v>1824.652973381963</v>
      </c>
      <c r="G19" s="157">
        <f>INDEX(tblMatières[% recovery],MATCH($B19,tblMatières[Material],0))</f>
        <v>0.34353973369556573</v>
      </c>
      <c r="H19" s="342">
        <f>INDEX(tblMatières[Net cost],MATCH($B19,tblMatières[Material],0))</f>
        <v>153.68613427780843</v>
      </c>
      <c r="I19" s="347">
        <f t="shared" si="5"/>
        <v>185.93</v>
      </c>
      <c r="J19" s="106">
        <v>264.7024504051551</v>
      </c>
      <c r="K19" s="399">
        <f t="shared" si="6"/>
        <v>-0.29758867091931163</v>
      </c>
    </row>
    <row r="20" spans="1:11">
      <c r="A20" s="46"/>
      <c r="B20" s="37" t="str">
        <f>INDEX(ListeMatières,9)</f>
        <v>Kraft paper packaging</v>
      </c>
      <c r="C20" s="163">
        <f>INDEX(tblMatières[Reported quantity (tonnes)],MATCH($B20,tblMatières[Material],0))</f>
        <v>311.67700000000002</v>
      </c>
      <c r="D20" s="176">
        <f>INDEX(tblMatières[Generated quantity  
(tonnes)],MATCH($B20,tblMatières[Material],0))</f>
        <v>311.67700000000002</v>
      </c>
      <c r="E20" s="176">
        <f>INDEX(tblMatières[Recovered quantity  (tonnes)],MATCH($B20,tblMatières[Material],0))</f>
        <v>99.135800518476543</v>
      </c>
      <c r="F20" s="176">
        <f t="shared" si="4"/>
        <v>212.54119948152348</v>
      </c>
      <c r="G20" s="157">
        <f>INDEX(tblMatières[% recovery],MATCH($B20,tblMatières[Material],0))</f>
        <v>0.31807223670170254</v>
      </c>
      <c r="H20" s="342">
        <f>INDEX(tblMatières[Net cost],MATCH($B20,tblMatières[Material],0))</f>
        <v>153.68613427780843</v>
      </c>
      <c r="I20" s="347">
        <f t="shared" si="5"/>
        <v>185.93</v>
      </c>
      <c r="J20" s="106">
        <v>264.7024504051551</v>
      </c>
      <c r="K20" s="399">
        <f t="shared" si="6"/>
        <v>-0.29758867091931163</v>
      </c>
    </row>
    <row r="21" spans="1:11">
      <c r="A21" s="46"/>
      <c r="B21" s="37" t="str">
        <f>INDEX(ListeMatières,10)</f>
        <v>Boxboard / Other paper packaging</v>
      </c>
      <c r="C21" s="163">
        <f>INDEX(tblMatières[Reported quantity (tonnes)],MATCH($B21,tblMatières[Material],0))</f>
        <v>87558.263999999996</v>
      </c>
      <c r="D21" s="176">
        <f>INDEX(tblMatières[Generated quantity  
(tonnes)],MATCH($B21,tblMatières[Material],0))</f>
        <v>87558.263999999996</v>
      </c>
      <c r="E21" s="176">
        <f>INDEX(tblMatières[Recovered quantity  (tonnes)],MATCH($B21,tblMatières[Material],0))</f>
        <v>49381.170834612974</v>
      </c>
      <c r="F21" s="176">
        <f t="shared" si="4"/>
        <v>38177.093165387021</v>
      </c>
      <c r="G21" s="157">
        <f>INDEX(tblMatières[% recovery],MATCH($B21,tblMatières[Material],0))</f>
        <v>0.56398069786551475</v>
      </c>
      <c r="H21" s="342">
        <f>INDEX(tblMatières[Net cost],MATCH($B21,tblMatières[Material],0))</f>
        <v>149.29999999999998</v>
      </c>
      <c r="I21" s="347">
        <f t="shared" si="5"/>
        <v>195.2672305227444</v>
      </c>
      <c r="J21" s="106">
        <v>169.37906576029937</v>
      </c>
      <c r="K21" s="399">
        <f t="shared" si="6"/>
        <v>0.15284158432590034</v>
      </c>
    </row>
    <row r="22" spans="1:11">
      <c r="A22" s="46"/>
      <c r="B22" s="37" t="str">
        <f>INDEX(ListeMatières,11)</f>
        <v>Gable-top containers</v>
      </c>
      <c r="C22" s="163">
        <f>INDEX(tblMatières[Reported quantity (tonnes)],MATCH($B22,tblMatières[Material],0))</f>
        <v>12195.59</v>
      </c>
      <c r="D22" s="176">
        <f>INDEX(tblMatières[Generated quantity  
(tonnes)],MATCH($B22,tblMatières[Material],0))</f>
        <v>12195.59</v>
      </c>
      <c r="E22" s="176">
        <f>INDEX(tblMatières[Recovered quantity  (tonnes)],MATCH($B22,tblMatières[Material],0))</f>
        <v>8372.4597512227556</v>
      </c>
      <c r="F22" s="176">
        <f t="shared" si="4"/>
        <v>3823.1302487772446</v>
      </c>
      <c r="G22" s="157">
        <f>INDEX(tblMatières[% recovery],MATCH($B22,tblMatières[Material],0))</f>
        <v>0.68651535114108908</v>
      </c>
      <c r="H22" s="342">
        <f>INDEX(tblMatières[Net cost],MATCH($B22,tblMatières[Material],0))</f>
        <v>182.28823626808645</v>
      </c>
      <c r="I22" s="347">
        <f t="shared" si="5"/>
        <v>195.27649444998215</v>
      </c>
      <c r="J22" s="106">
        <v>162.94905603114032</v>
      </c>
      <c r="K22" s="399">
        <f t="shared" si="6"/>
        <v>0.19838984776115498</v>
      </c>
    </row>
    <row r="23" spans="1:11">
      <c r="A23" s="46"/>
      <c r="B23" s="37" t="str">
        <f>INDEX(ListeMatières,12)</f>
        <v>Paper laminants</v>
      </c>
      <c r="C23" s="163">
        <f>INDEX(tblMatières[Reported quantity (tonnes)],MATCH($B23,tblMatières[Material],0))</f>
        <v>12555.716</v>
      </c>
      <c r="D23" s="176">
        <f>INDEX(tblMatières[Generated quantity  
(tonnes)],MATCH($B23,tblMatières[Material],0))</f>
        <v>12555.716</v>
      </c>
      <c r="E23" s="176">
        <f>INDEX(tblMatières[Recovered quantity  (tonnes)],MATCH($B23,tblMatières[Material],0))</f>
        <v>3392.0864248591306</v>
      </c>
      <c r="F23" s="176">
        <f t="shared" si="4"/>
        <v>9163.6295751408688</v>
      </c>
      <c r="G23" s="157">
        <f>INDEX(tblMatières[% recovery],MATCH($B23,tblMatières[Material],0))</f>
        <v>0.27016272308637201</v>
      </c>
      <c r="H23" s="342">
        <f>INDEX(tblMatières[Net cost],MATCH($B23,tblMatières[Material],0))</f>
        <v>226.71233190137519</v>
      </c>
      <c r="I23" s="347">
        <f t="shared" si="5"/>
        <v>244.94553283833136</v>
      </c>
      <c r="J23" s="106">
        <v>181.98646513228991</v>
      </c>
      <c r="K23" s="399">
        <f t="shared" si="6"/>
        <v>0.34595467119093248</v>
      </c>
    </row>
    <row r="24" spans="1:11">
      <c r="A24" s="46"/>
      <c r="B24" s="37" t="str">
        <f>INDEX(ListeMatières,13)</f>
        <v>Aseptic containers</v>
      </c>
      <c r="C24" s="163">
        <f>INDEX(tblMatières[Reported quantity (tonnes)],MATCH($B24,tblMatières[Material],0))</f>
        <v>6206.1570000000002</v>
      </c>
      <c r="D24" s="176">
        <f>INDEX(tblMatières[Generated quantity  
(tonnes)],MATCH($B24,tblMatières[Material],0))</f>
        <v>6206.1570000000002</v>
      </c>
      <c r="E24" s="176">
        <f>INDEX(tblMatières[Recovered quantity  (tonnes)],MATCH($B24,tblMatières[Material],0))</f>
        <v>3243.9021752935305</v>
      </c>
      <c r="F24" s="176">
        <f t="shared" si="4"/>
        <v>2962.2548247064697</v>
      </c>
      <c r="G24" s="157">
        <f>INDEX(tblMatières[% recovery],MATCH($B24,tblMatières[Material],0))</f>
        <v>0.52269096242546398</v>
      </c>
      <c r="H24" s="342">
        <f>INDEX(tblMatières[Net cost],MATCH($B24,tblMatières[Material],0))</f>
        <v>186.11136672940609</v>
      </c>
      <c r="I24" s="347">
        <f t="shared" si="5"/>
        <v>228.68889635336086</v>
      </c>
      <c r="J24" s="106">
        <v>284.79961387104032</v>
      </c>
      <c r="K24" s="399">
        <f t="shared" si="6"/>
        <v>-0.19701823592740852</v>
      </c>
    </row>
    <row r="25" spans="1:11">
      <c r="A25" s="43" t="s">
        <v>66</v>
      </c>
      <c r="B25" s="10"/>
      <c r="C25" s="167">
        <f>SUBTOTAL(9,C18:C24)</f>
        <v>178777.73300000001</v>
      </c>
      <c r="D25" s="180">
        <f t="shared" ref="D25:E25" si="7">SUBTOTAL(9,D18:D24)</f>
        <v>178777.73300000001</v>
      </c>
      <c r="E25" s="180">
        <f t="shared" si="7"/>
        <v>105979.32853638267</v>
      </c>
      <c r="F25" s="180">
        <f t="shared" si="4"/>
        <v>72798.404463617335</v>
      </c>
      <c r="G25" s="161">
        <f>E25/D25</f>
        <v>0.59279937583939868</v>
      </c>
      <c r="H25" s="346"/>
      <c r="I25" s="349">
        <f>INDEX(rgTarif_TxFinal,MATCH($A25,Fees!$B$11:$B$51,0))</f>
        <v>196.76965195604657</v>
      </c>
      <c r="J25" s="112">
        <v>206.79162357788124</v>
      </c>
      <c r="K25" s="403">
        <f t="shared" si="6"/>
        <v>-4.8464108209200329E-2</v>
      </c>
    </row>
    <row r="26" spans="1:11">
      <c r="A26" s="46" t="s">
        <v>43</v>
      </c>
      <c r="B26" s="37" t="str">
        <f>INDEX(ListeMatières,14)</f>
        <v>PET bottles</v>
      </c>
      <c r="C26" s="163">
        <f>INDEX(tblMatières[Reported quantity (tonnes)],MATCH($B26,tblMatières[Material],0))</f>
        <v>23176.743999999999</v>
      </c>
      <c r="D26" s="176">
        <f>INDEX(tblMatières[Generated quantity  
(tonnes)],MATCH($B26,tblMatières[Material],0))</f>
        <v>23176.743999999999</v>
      </c>
      <c r="E26" s="176">
        <f>INDEX(tblMatières[Recovered quantity  (tonnes)],MATCH($B26,tblMatières[Material],0))</f>
        <v>13623.907422425867</v>
      </c>
      <c r="F26" s="176">
        <f t="shared" si="4"/>
        <v>9552.8365775741313</v>
      </c>
      <c r="G26" s="157">
        <f>INDEX(tblMatières[% recovery],MATCH($B26,tblMatières[Material],0))</f>
        <v>0.58782663442396688</v>
      </c>
      <c r="H26" s="342">
        <f>INDEX(tblMatières[Net cost],MATCH($B26,tblMatières[Material],0))</f>
        <v>206.00218587957016</v>
      </c>
      <c r="I26" s="347">
        <f t="shared" ref="I26:I36" si="8">INDEX(rgTarif_TxFinal,MATCH($B26,rgTarif_Matières,0))</f>
        <v>262.35000000000002</v>
      </c>
      <c r="J26" s="106">
        <v>220.27113635334763</v>
      </c>
      <c r="K26" s="399">
        <f t="shared" ref="K26:K37" si="9">IF(J26&gt;0,I26/J26-1,0)</f>
        <v>0.19103212678374559</v>
      </c>
    </row>
    <row r="27" spans="1:11">
      <c r="A27" s="38"/>
      <c r="B27" s="37" t="str">
        <f>INDEX(ListeMatières,15)</f>
        <v>HDPE bottles</v>
      </c>
      <c r="C27" s="163">
        <f>INDEX(tblMatières[Reported quantity (tonnes)],MATCH($B27,tblMatières[Material],0))</f>
        <v>16609.435000000001</v>
      </c>
      <c r="D27" s="176">
        <f>INDEX(tblMatières[Generated quantity  
(tonnes)],MATCH($B27,tblMatières[Material],0))</f>
        <v>16609.435000000001</v>
      </c>
      <c r="E27" s="176">
        <f>INDEX(tblMatières[Recovered quantity  (tonnes)],MATCH($B27,tblMatières[Material],0))</f>
        <v>10319.634497317069</v>
      </c>
      <c r="F27" s="176">
        <f t="shared" si="4"/>
        <v>6289.8005026829323</v>
      </c>
      <c r="G27" s="157">
        <f>INDEX(tblMatières[% recovery],MATCH($B27,tblMatières[Material],0))</f>
        <v>0.62131159171381012</v>
      </c>
      <c r="H27" s="342">
        <f>INDEX(tblMatières[Net cost],MATCH($B27,tblMatières[Material],0))</f>
        <v>79.426164210515594</v>
      </c>
      <c r="I27" s="347">
        <f t="shared" si="8"/>
        <v>159.64935476614588</v>
      </c>
      <c r="J27" s="106">
        <v>217.41066542563914</v>
      </c>
      <c r="K27" s="399">
        <f t="shared" si="9"/>
        <v>-0.26567836746375872</v>
      </c>
    </row>
    <row r="28" spans="1:11">
      <c r="A28" s="38"/>
      <c r="B28" s="37" t="str">
        <f>INDEX(ListeMatières,16)</f>
        <v>Plastic laminants</v>
      </c>
      <c r="C28" s="163">
        <f>INDEX(tblMatières[Reported quantity (tonnes)],MATCH($B28,tblMatières[Material],0))</f>
        <v>12064.946</v>
      </c>
      <c r="D28" s="176">
        <f>INDEX(tblMatières[Generated quantity  
(tonnes)],MATCH($B28,tblMatières[Material],0))</f>
        <v>12064.946</v>
      </c>
      <c r="E28" s="176">
        <f>INDEX(tblMatières[Recovered quantity  (tonnes)],MATCH($B28,tblMatières[Material],0))</f>
        <v>1618.7545506972476</v>
      </c>
      <c r="F28" s="176">
        <f t="shared" si="4"/>
        <v>10446.191449302753</v>
      </c>
      <c r="G28" s="157">
        <f>INDEX(tblMatières[% recovery],MATCH($B28,tblMatières[Material],0))</f>
        <v>0.13417006182184715</v>
      </c>
      <c r="H28" s="342">
        <f>INDEX(tblMatières[Net cost],MATCH($B28,tblMatières[Material],0))</f>
        <v>529.24187166609318</v>
      </c>
      <c r="I28" s="347">
        <f t="shared" si="8"/>
        <v>471.42</v>
      </c>
      <c r="J28" s="106">
        <v>517.80914879540842</v>
      </c>
      <c r="K28" s="399">
        <f t="shared" si="9"/>
        <v>-8.9587348742919182E-2</v>
      </c>
    </row>
    <row r="29" spans="1:11">
      <c r="A29" s="38"/>
      <c r="B29" s="37" t="str">
        <f>INDEX(ListeMatières,17)</f>
        <v>HDPE and LDPE plastic film</v>
      </c>
      <c r="C29" s="163">
        <f>INDEX(tblMatières[Reported quantity (tonnes)],MATCH($B29,tblMatières[Material],0))</f>
        <v>21920.366999999998</v>
      </c>
      <c r="D29" s="176">
        <f>INDEX(tblMatières[Generated quantity  
(tonnes)],MATCH($B29,tblMatières[Material],0))</f>
        <v>21920.366999999998</v>
      </c>
      <c r="E29" s="176">
        <f>INDEX(tblMatières[Recovered quantity  (tonnes)],MATCH($B29,tblMatières[Material],0))</f>
        <v>4791.0687245431354</v>
      </c>
      <c r="F29" s="176">
        <f t="shared" si="4"/>
        <v>17129.298275456862</v>
      </c>
      <c r="G29" s="157">
        <f>INDEX(tblMatières[% recovery],MATCH($B29,tblMatières[Material],0))</f>
        <v>0.21856699409015987</v>
      </c>
      <c r="H29" s="342">
        <f>INDEX(tblMatières[Net cost],MATCH($B29,tblMatières[Material],0))</f>
        <v>635.64689637837682</v>
      </c>
      <c r="I29" s="347">
        <f t="shared" si="8"/>
        <v>471.42</v>
      </c>
      <c r="J29" s="106">
        <v>517.80914879540842</v>
      </c>
      <c r="K29" s="399">
        <f t="shared" si="9"/>
        <v>-8.9587348742919182E-2</v>
      </c>
    </row>
    <row r="30" spans="1:11">
      <c r="A30" s="38"/>
      <c r="B30" s="37" t="str">
        <f>INDEX(ListeMatières,18)</f>
        <v>HDPE and LDPE plastic shopping bags</v>
      </c>
      <c r="C30" s="163">
        <f>INDEX(tblMatières[Reported quantity (tonnes)],MATCH($B30,tblMatières[Material],0))</f>
        <v>9207.6</v>
      </c>
      <c r="D30" s="176">
        <f>INDEX(tblMatières[Generated quantity  
(tonnes)],MATCH($B30,tblMatières[Material],0))</f>
        <v>9207.6</v>
      </c>
      <c r="E30" s="176">
        <f>INDEX(tblMatières[Recovered quantity  (tonnes)],MATCH($B30,tblMatières[Material],0))</f>
        <v>1211.2228001806236</v>
      </c>
      <c r="F30" s="176">
        <f t="shared" si="4"/>
        <v>7996.377199819377</v>
      </c>
      <c r="G30" s="157">
        <f>INDEX(tblMatières[% recovery],MATCH($B30,tblMatières[Material],0))</f>
        <v>0.13154598377216903</v>
      </c>
      <c r="H30" s="342">
        <f>INDEX(tblMatières[Net cost],MATCH($B30,tblMatières[Material],0))</f>
        <v>635.64689637837682</v>
      </c>
      <c r="I30" s="347">
        <f t="shared" si="8"/>
        <v>471.42</v>
      </c>
      <c r="J30" s="106">
        <v>517.80914879540842</v>
      </c>
      <c r="K30" s="399">
        <f t="shared" si="9"/>
        <v>-8.9587348742919182E-2</v>
      </c>
    </row>
    <row r="31" spans="1:11">
      <c r="A31" s="38"/>
      <c r="B31" s="37" t="str">
        <f>INDEX(ListeMatières,19)</f>
        <v>Expanded polystyrene food</v>
      </c>
      <c r="C31" s="163">
        <f>INDEX(tblMatières[Reported quantity (tonnes)],MATCH($B31,tblMatières[Material],0))</f>
        <v>4326.0749999999998</v>
      </c>
      <c r="D31" s="176">
        <f>INDEX(tblMatières[Generated quantity  
(tonnes)],MATCH($B31,tblMatières[Material],0))</f>
        <v>4326.0749999999998</v>
      </c>
      <c r="E31" s="176">
        <f>INDEX(tblMatières[Recovered quantity  (tonnes)],MATCH($B31,tblMatières[Material],0))</f>
        <v>310.34995403285171</v>
      </c>
      <c r="F31" s="176">
        <f t="shared" si="4"/>
        <v>4015.7250459671482</v>
      </c>
      <c r="G31" s="157">
        <f>INDEX(tblMatières[% recovery],MATCH($B31,tblMatières[Material],0))</f>
        <v>7.1739383629005907E-2</v>
      </c>
      <c r="H31" s="342">
        <f>INDEX(tblMatières[Net cost],MATCH($B31,tblMatières[Material],0))</f>
        <v>1993.7627691914415</v>
      </c>
      <c r="I31" s="347">
        <f t="shared" si="8"/>
        <v>750.26</v>
      </c>
      <c r="J31" s="106">
        <v>681.33429945303374</v>
      </c>
      <c r="K31" s="399">
        <f t="shared" si="9"/>
        <v>0.10116282213048566</v>
      </c>
    </row>
    <row r="32" spans="1:11">
      <c r="A32" s="265"/>
      <c r="B32" s="37" t="str">
        <f>INDEX(ListeMatières,20)</f>
        <v>Expanded polystyrene protection</v>
      </c>
      <c r="C32" s="163">
        <f>INDEX(tblMatières[Reported quantity (tonnes)],MATCH($B32,tblMatières[Material],0))</f>
        <v>1850.1969999999999</v>
      </c>
      <c r="D32" s="176">
        <f>INDEX(tblMatières[Generated quantity  
(tonnes)],MATCH($B32,tblMatières[Material],0))</f>
        <v>1850.1969999999999</v>
      </c>
      <c r="E32" s="176">
        <f>INDEX(tblMatières[Recovered quantity  (tonnes)],MATCH($B32,tblMatières[Material],0))</f>
        <v>606.7541775293505</v>
      </c>
      <c r="F32" s="176">
        <f t="shared" si="4"/>
        <v>1243.4428224706494</v>
      </c>
      <c r="G32" s="157">
        <f>INDEX(tblMatières[% recovery],MATCH($B32,tblMatières[Material],0))</f>
        <v>0.32794030988556921</v>
      </c>
      <c r="H32" s="342">
        <f>INDEX(tblMatières[Net cost],MATCH($B32,tblMatières[Material],0))</f>
        <v>1993.7627691914415</v>
      </c>
      <c r="I32" s="347">
        <f t="shared" si="8"/>
        <v>750.26</v>
      </c>
      <c r="J32" s="106">
        <v>681.33429945303374</v>
      </c>
      <c r="K32" s="399">
        <f>IF(J32&gt;0,I32/J32-1,0)</f>
        <v>0.10116282213048566</v>
      </c>
    </row>
    <row r="33" spans="1:11">
      <c r="A33" s="38"/>
      <c r="B33" s="37" t="str">
        <f>INDEX(ListeMatières,21)</f>
        <v>Non-expanded polystyrene</v>
      </c>
      <c r="C33" s="163">
        <f>INDEX(tblMatières[Reported quantity (tonnes)],MATCH($B33,tblMatières[Material],0))</f>
        <v>5060.2809999999999</v>
      </c>
      <c r="D33" s="176">
        <f>INDEX(tblMatières[Generated quantity  
(tonnes)],MATCH($B33,tblMatières[Material],0))</f>
        <v>5060.2809999999999</v>
      </c>
      <c r="E33" s="176">
        <f>INDEX(tblMatières[Recovered quantity  (tonnes)],MATCH($B33,tblMatières[Material],0))</f>
        <v>1589.2978514450424</v>
      </c>
      <c r="F33" s="176">
        <f t="shared" si="4"/>
        <v>3470.9831485549576</v>
      </c>
      <c r="G33" s="157">
        <f>INDEX(tblMatières[% recovery],MATCH($B33,tblMatières[Material],0))</f>
        <v>0.31407304286956444</v>
      </c>
      <c r="H33" s="342">
        <f>INDEX(tblMatières[Net cost],MATCH($B33,tblMatières[Material],0))</f>
        <v>381.9396647890232</v>
      </c>
      <c r="I33" s="347">
        <f t="shared" si="8"/>
        <v>750.26</v>
      </c>
      <c r="J33" s="106">
        <v>681.33429945303374</v>
      </c>
      <c r="K33" s="399">
        <f t="shared" si="9"/>
        <v>0.10116282213048566</v>
      </c>
    </row>
    <row r="34" spans="1:11">
      <c r="A34" s="38"/>
      <c r="B34" s="37" t="str">
        <f>INDEX(ListeMatières,22)</f>
        <v>PET containers</v>
      </c>
      <c r="C34" s="163">
        <f>INDEX(tblMatières[Reported quantity (tonnes)],MATCH($B34,tblMatières[Material],0))</f>
        <v>7067.826</v>
      </c>
      <c r="D34" s="176">
        <f>INDEX(tblMatières[Generated quantity  
(tonnes)],MATCH($B34,tblMatières[Material],0))</f>
        <v>7067.826</v>
      </c>
      <c r="E34" s="176">
        <f>INDEX(tblMatières[Recovered quantity  (tonnes)],MATCH($B34,tblMatières[Material],0))</f>
        <v>3446.1724346558049</v>
      </c>
      <c r="F34" s="176">
        <f t="shared" si="4"/>
        <v>3621.6535653441952</v>
      </c>
      <c r="G34" s="157">
        <f>INDEX(tblMatières[% recovery],MATCH($B34,tblMatières[Material],0))</f>
        <v>0.48758591887460229</v>
      </c>
      <c r="H34" s="342">
        <f>INDEX(tblMatières[Net cost],MATCH($B34,tblMatières[Material],0))</f>
        <v>326.37</v>
      </c>
      <c r="I34" s="347">
        <f t="shared" si="8"/>
        <v>262.35000000000002</v>
      </c>
      <c r="J34" s="106">
        <v>266.37333864174002</v>
      </c>
      <c r="K34" s="399">
        <f t="shared" si="9"/>
        <v>-1.5104134153422932E-2</v>
      </c>
    </row>
    <row r="35" spans="1:11">
      <c r="A35" s="38"/>
      <c r="B35" s="37" t="str">
        <f>INDEX(ListeMatières,23)</f>
        <v>Polylactic acid (PLA) and other degradable plastics</v>
      </c>
      <c r="C35" s="163">
        <f>INDEX(tblMatières[Reported quantity (tonnes)],MATCH($B35,tblMatières[Material],0))</f>
        <v>88.733999999999995</v>
      </c>
      <c r="D35" s="176">
        <f>INDEX(tblMatières[Generated quantity  
(tonnes)],MATCH($B35,tblMatières[Material],0))</f>
        <v>88.733999999999995</v>
      </c>
      <c r="E35" s="176">
        <f>INDEX(tblMatières[Recovered quantity  (tonnes)],MATCH($B35,tblMatières[Material],0))</f>
        <v>18.258565640010666</v>
      </c>
      <c r="F35" s="176">
        <f t="shared" si="4"/>
        <v>70.475434359989322</v>
      </c>
      <c r="G35" s="157">
        <f>INDEX(tblMatières[% recovery],MATCH($B35,tblMatières[Material],0))</f>
        <v>0.2057674131675645</v>
      </c>
      <c r="H35" s="342">
        <f>INDEX(tblMatières[Net cost],MATCH($B35,tblMatières[Material],0))</f>
        <v>230.50678013679595</v>
      </c>
      <c r="I35" s="347">
        <f t="shared" si="8"/>
        <v>750.26</v>
      </c>
      <c r="J35" s="106">
        <v>681.33429945303374</v>
      </c>
      <c r="K35" s="399">
        <f t="shared" si="9"/>
        <v>0.10116282213048566</v>
      </c>
    </row>
    <row r="36" spans="1:11">
      <c r="A36" s="40"/>
      <c r="B36" s="242" t="str">
        <f>INDEX(ListeMatières,24)</f>
        <v>Other plastics, polymers and polyurethane</v>
      </c>
      <c r="C36" s="163">
        <f>INDEX(tblMatières[Reported quantity (tonnes)],MATCH($B36,tblMatières[Material],0))</f>
        <v>33319.733</v>
      </c>
      <c r="D36" s="176">
        <f>INDEX(tblMatières[Generated quantity  
(tonnes)],MATCH($B36,tblMatières[Material],0))</f>
        <v>33319.733</v>
      </c>
      <c r="E36" s="176">
        <f>INDEX(tblMatières[Recovered quantity  (tonnes)],MATCH($B36,tblMatières[Material],0))</f>
        <v>12129.950450506696</v>
      </c>
      <c r="F36" s="176">
        <f t="shared" si="4"/>
        <v>21189.782549493306</v>
      </c>
      <c r="G36" s="157">
        <f>INDEX(tblMatières[% recovery],MATCH($B36,tblMatières[Material],0))</f>
        <v>0.36404704835139873</v>
      </c>
      <c r="H36" s="342">
        <f>INDEX(tblMatières[Net cost],MATCH($B36,tblMatières[Material],0))</f>
        <v>268.57000000000005</v>
      </c>
      <c r="I36" s="347">
        <f t="shared" si="8"/>
        <v>302.22000000000003</v>
      </c>
      <c r="J36" s="106">
        <v>266.37333864174002</v>
      </c>
      <c r="K36" s="399">
        <f t="shared" si="9"/>
        <v>0.13457300772308955</v>
      </c>
    </row>
    <row r="37" spans="1:11">
      <c r="A37" s="43" t="s">
        <v>67</v>
      </c>
      <c r="B37" s="10"/>
      <c r="C37" s="167">
        <f>SUBTOTAL(9,C26:C36)</f>
        <v>134691.93799999999</v>
      </c>
      <c r="D37" s="180">
        <f t="shared" ref="D37:E37" si="10">SUBTOTAL(9,D26:D36)</f>
        <v>134691.93799999999</v>
      </c>
      <c r="E37" s="180">
        <f t="shared" si="10"/>
        <v>49665.371428973704</v>
      </c>
      <c r="F37" s="180">
        <f t="shared" si="4"/>
        <v>85026.566571026284</v>
      </c>
      <c r="G37" s="161">
        <f>E37/D37</f>
        <v>0.36873306722317489</v>
      </c>
      <c r="H37" s="346"/>
      <c r="I37" s="349">
        <f>INDEX(rgTarif_TxFinal,MATCH($A37,Fees!$B$11:$B$51,0))</f>
        <v>367.61777901376882</v>
      </c>
      <c r="J37" s="112">
        <v>380.46478373024155</v>
      </c>
      <c r="K37" s="403">
        <f t="shared" si="9"/>
        <v>-3.3766606702767876E-2</v>
      </c>
    </row>
    <row r="38" spans="1:11">
      <c r="A38" s="46" t="s">
        <v>2</v>
      </c>
      <c r="B38" s="37" t="str">
        <f>INDEX(ListeMatières,25)</f>
        <v>Aluminium containers for food and beverages</v>
      </c>
      <c r="C38" s="163">
        <f>INDEX(tblMatières[Reported quantity (tonnes)],MATCH($B38,tblMatières[Material],0))</f>
        <v>2927.57</v>
      </c>
      <c r="D38" s="176">
        <f>INDEX(tblMatières[Generated quantity  
(tonnes)],MATCH($B38,tblMatières[Material],0))</f>
        <v>2927.57</v>
      </c>
      <c r="E38" s="176">
        <f>INDEX(tblMatières[Recovered quantity  (tonnes)],MATCH($B38,tblMatières[Material],0))</f>
        <v>1291.1594981629264</v>
      </c>
      <c r="F38" s="176">
        <f t="shared" si="4"/>
        <v>1636.4105018370738</v>
      </c>
      <c r="G38" s="157">
        <f>INDEX(tblMatières[% recovery],MATCH($B38,tblMatières[Material],0))</f>
        <v>0.44103454337997938</v>
      </c>
      <c r="H38" s="342">
        <f>INDEX(tblMatières[Net cost],MATCH($B38,tblMatières[Material],0))</f>
        <v>-207.05385563368731</v>
      </c>
      <c r="I38" s="347">
        <f>INDEX(rgTarif_TxFinal,MATCH($B38,rgTarif_Matières,0))</f>
        <v>127.46</v>
      </c>
      <c r="J38" s="106">
        <v>187.76535110527982</v>
      </c>
      <c r="K38" s="399">
        <f t="shared" si="6"/>
        <v>-0.3211740118732912</v>
      </c>
    </row>
    <row r="39" spans="1:11">
      <c r="A39" s="46"/>
      <c r="B39" s="37" t="str">
        <f>INDEX(ListeMatières,26)</f>
        <v>Other aluminium containers and packaging</v>
      </c>
      <c r="C39" s="163">
        <f>INDEX(tblMatières[Reported quantity (tonnes)],MATCH($B39,tblMatières[Material],0))</f>
        <v>2080.9479999999999</v>
      </c>
      <c r="D39" s="176">
        <f>INDEX(tblMatières[Generated quantity  
(tonnes)],MATCH($B39,tblMatières[Material],0))</f>
        <v>2080.9479999999999</v>
      </c>
      <c r="E39" s="176">
        <f>INDEX(tblMatières[Recovered quantity  (tonnes)],MATCH($B39,tblMatières[Material],0))</f>
        <v>222.40040322833309</v>
      </c>
      <c r="F39" s="176">
        <f t="shared" si="4"/>
        <v>1858.5475967716668</v>
      </c>
      <c r="G39" s="157">
        <f>INDEX(tblMatières[% recovery],MATCH($B39,tblMatières[Material],0))</f>
        <v>0.10687456064655777</v>
      </c>
      <c r="H39" s="342">
        <f>INDEX(tblMatières[Net cost],MATCH($B39,tblMatières[Material],0))</f>
        <v>-62.330729315310123</v>
      </c>
      <c r="I39" s="347">
        <f>INDEX(rgTarif_TxFinal,MATCH($B39,rgTarif_Matières,0))</f>
        <v>127.46</v>
      </c>
      <c r="J39" s="106">
        <v>187.76535110527982</v>
      </c>
      <c r="K39" s="399">
        <f t="shared" si="6"/>
        <v>-0.3211740118732912</v>
      </c>
    </row>
    <row r="40" spans="1:11">
      <c r="A40" s="43" t="s">
        <v>68</v>
      </c>
      <c r="B40" s="10"/>
      <c r="C40" s="167">
        <f>SUBTOTAL(9,C38:C39)</f>
        <v>5008.518</v>
      </c>
      <c r="D40" s="180">
        <f t="shared" ref="D40:E40" si="11">SUBTOTAL(9,D38:D39)</f>
        <v>5008.518</v>
      </c>
      <c r="E40" s="180">
        <f t="shared" si="11"/>
        <v>1513.5599013912595</v>
      </c>
      <c r="F40" s="180">
        <f t="shared" si="4"/>
        <v>3494.9580986087403</v>
      </c>
      <c r="G40" s="161">
        <f>E40/D40</f>
        <v>0.30219715720124385</v>
      </c>
      <c r="H40" s="346"/>
      <c r="I40" s="349">
        <f>INDEX(rgTarif_TxFinal,MATCH($A40,Fees!$B$11:$B$51,0))</f>
        <v>127.46</v>
      </c>
      <c r="J40" s="112">
        <v>187.76535110527982</v>
      </c>
      <c r="K40" s="403">
        <f t="shared" si="6"/>
        <v>-0.3211740118732912</v>
      </c>
    </row>
    <row r="41" spans="1:11">
      <c r="A41" s="46" t="s">
        <v>57</v>
      </c>
      <c r="B41" s="37" t="str">
        <f>INDEX(ListeMatières,27)</f>
        <v>Steel aerosol containers</v>
      </c>
      <c r="C41" s="163">
        <f>INDEX(tblMatières[Reported quantity (tonnes)],MATCH($B41,tblMatières[Material],0))</f>
        <v>1674.4069999999999</v>
      </c>
      <c r="D41" s="176">
        <f>INDEX(tblMatières[Generated quantity  
(tonnes)],MATCH($B41,tblMatières[Material],0))</f>
        <v>1674.4069999999999</v>
      </c>
      <c r="E41" s="176">
        <f>INDEX(tblMatières[Recovered quantity  (tonnes)],MATCH($B41,tblMatières[Material],0))</f>
        <v>310.16626167182272</v>
      </c>
      <c r="F41" s="176">
        <f t="shared" si="4"/>
        <v>1364.2407383281773</v>
      </c>
      <c r="G41" s="157">
        <f>INDEX(tblMatières[% recovery],MATCH($B41,tblMatières[Material],0))</f>
        <v>0.18523946786642839</v>
      </c>
      <c r="H41" s="342">
        <f>INDEX(tblMatières[Net cost],MATCH($B41,tblMatières[Material],0))</f>
        <v>-199.35473578776555</v>
      </c>
      <c r="I41" s="347">
        <f>INDEX(rgTarif_TxFinal,MATCH($B41,rgTarif_Matières,0))</f>
        <v>144.21</v>
      </c>
      <c r="J41" s="106">
        <v>114.8712632059561</v>
      </c>
      <c r="K41" s="399">
        <f>IF(J41&gt;0,I41/J41-1,0)</f>
        <v>0.25540536401555558</v>
      </c>
    </row>
    <row r="42" spans="1:11">
      <c r="A42" s="46"/>
      <c r="B42" s="37" t="str">
        <f>INDEX(ListeMatières,28)</f>
        <v>Other steel containers</v>
      </c>
      <c r="C42" s="163">
        <f>INDEX(tblMatières[Reported quantity (tonnes)],MATCH($B42,tblMatières[Material],0))</f>
        <v>26909.557000000001</v>
      </c>
      <c r="D42" s="176">
        <f>INDEX(tblMatières[Generated quantity  
(tonnes)],MATCH($B42,tblMatières[Material],0))</f>
        <v>26909.557000000001</v>
      </c>
      <c r="E42" s="176">
        <f>INDEX(tblMatières[Recovered quantity  (tonnes)],MATCH($B42,tblMatières[Material],0))</f>
        <v>15062.447967705493</v>
      </c>
      <c r="F42" s="176">
        <f t="shared" si="4"/>
        <v>11847.109032294507</v>
      </c>
      <c r="G42" s="157">
        <f>INDEX(tblMatières[% recovery],MATCH($B42,tblMatières[Material],0))</f>
        <v>0.55974343864915699</v>
      </c>
      <c r="H42" s="342">
        <f>INDEX(tblMatières[Net cost],MATCH($B42,tblMatières[Material],0))</f>
        <v>57.806525548425725</v>
      </c>
      <c r="I42" s="347">
        <f>INDEX(rgTarif_TxFinal,MATCH($B42,rgTarif_Matières,0))</f>
        <v>144.21</v>
      </c>
      <c r="J42" s="106">
        <v>114.8712632059561</v>
      </c>
      <c r="K42" s="399">
        <f>IF(J42&gt;0,I42/J42-1,0)</f>
        <v>0.25540536401555558</v>
      </c>
    </row>
    <row r="43" spans="1:11">
      <c r="A43" s="43" t="s">
        <v>69</v>
      </c>
      <c r="B43" s="10"/>
      <c r="C43" s="167">
        <f>SUBTOTAL(9,C41:C42)</f>
        <v>28583.964</v>
      </c>
      <c r="D43" s="180">
        <f t="shared" ref="D43" si="12">SUBTOTAL(9,D41:D42)</f>
        <v>28583.964</v>
      </c>
      <c r="E43" s="180">
        <f t="shared" ref="E43" si="13">SUBTOTAL(9,E41:E42)</f>
        <v>15372.614229377315</v>
      </c>
      <c r="F43" s="180">
        <f t="shared" si="4"/>
        <v>13211.349770622684</v>
      </c>
      <c r="G43" s="161">
        <f>E43/D43</f>
        <v>0.53780554122504898</v>
      </c>
      <c r="H43" s="346"/>
      <c r="I43" s="349">
        <f>INDEX(rgTarif_TxFinal,MATCH($A43,Fees!$B$11:$B$51,0))</f>
        <v>144.21</v>
      </c>
      <c r="J43" s="112">
        <v>114.8712632059561</v>
      </c>
      <c r="K43" s="403">
        <f>IF(J43&gt;0,I43/J43-1,0)</f>
        <v>0.25540536401555558</v>
      </c>
    </row>
    <row r="44" spans="1:11">
      <c r="A44" s="46" t="s">
        <v>60</v>
      </c>
      <c r="B44" s="37" t="str">
        <f>INDEX(ListeMatières,29)</f>
        <v>Clear glass</v>
      </c>
      <c r="C44" s="163">
        <f>INDEX(tblMatières[Reported quantity (tonnes)],MATCH($B44,tblMatières[Material],0))</f>
        <v>54262.898999999998</v>
      </c>
      <c r="D44" s="176">
        <f>INDEX(tblMatières[Generated quantity  
(tonnes)],MATCH($B44,tblMatières[Material],0))</f>
        <v>54262.898999999998</v>
      </c>
      <c r="E44" s="176">
        <f>INDEX(tblMatières[Recovered quantity  (tonnes)],MATCH($B44,tblMatières[Material],0))</f>
        <v>41916.035629230697</v>
      </c>
      <c r="F44" s="176">
        <f t="shared" si="4"/>
        <v>12346.863370769301</v>
      </c>
      <c r="G44" s="157">
        <f>INDEX(tblMatières[% recovery],MATCH($B44,tblMatières[Material],0))</f>
        <v>0.77246215004529517</v>
      </c>
      <c r="H44" s="342">
        <f>INDEX(tblMatières[Net cost],MATCH($B44,tblMatières[Material],0))</f>
        <v>179.42087901446925</v>
      </c>
      <c r="I44" s="347">
        <f>INDEX(rgTarif_TxFinal,MATCH($B44,rgTarif_Matières,0))</f>
        <v>145.66999999999999</v>
      </c>
      <c r="J44" s="106">
        <v>97.11413046968147</v>
      </c>
      <c r="K44" s="399">
        <f t="shared" si="6"/>
        <v>0.4999876876360172</v>
      </c>
    </row>
    <row r="45" spans="1:11">
      <c r="A45" s="46"/>
      <c r="B45" s="37" t="str">
        <f>INDEX(ListeMatières,30)</f>
        <v>Coloured glass</v>
      </c>
      <c r="C45" s="163">
        <f>INDEX(tblMatières[Reported quantity (tonnes)],MATCH($B45,tblMatières[Material],0))</f>
        <v>82425.142000000007</v>
      </c>
      <c r="D45" s="176">
        <f>INDEX(tblMatières[Generated quantity  
(tonnes)],MATCH($B45,tblMatières[Material],0))</f>
        <v>82425.142000000007</v>
      </c>
      <c r="E45" s="176">
        <f>INDEX(tblMatières[Recovered quantity  (tonnes)],MATCH($B45,tblMatières[Material],0))</f>
        <v>63670.302407108764</v>
      </c>
      <c r="F45" s="176">
        <f t="shared" si="4"/>
        <v>18754.839592891243</v>
      </c>
      <c r="G45" s="157">
        <f>INDEX(tblMatières[% recovery],MATCH($B45,tblMatières[Material],0))</f>
        <v>0.77246215004529517</v>
      </c>
      <c r="H45" s="342">
        <f>INDEX(tblMatières[Net cost],MATCH($B45,tblMatières[Material],0))</f>
        <v>180.45839822769358</v>
      </c>
      <c r="I45" s="347">
        <f>INDEX(rgTarif_TxFinal,MATCH($B45,rgTarif_Matières,0))</f>
        <v>141.61000000000001</v>
      </c>
      <c r="J45" s="106">
        <v>94.406711318981792</v>
      </c>
      <c r="K45" s="399">
        <f t="shared" si="6"/>
        <v>0.49999929053272019</v>
      </c>
    </row>
    <row r="46" spans="1:11">
      <c r="A46" s="43" t="s">
        <v>70</v>
      </c>
      <c r="B46" s="10"/>
      <c r="C46" s="167">
        <f>SUBTOTAL(9,C44:C45)</f>
        <v>136688.041</v>
      </c>
      <c r="D46" s="180">
        <f t="shared" ref="D46" si="14">SUBTOTAL(9,D44:D45)</f>
        <v>136688.041</v>
      </c>
      <c r="E46" s="180">
        <f t="shared" ref="E46" si="15">SUBTOTAL(9,E44:E45)</f>
        <v>105586.33803633947</v>
      </c>
      <c r="F46" s="180">
        <f t="shared" si="4"/>
        <v>31101.702963660529</v>
      </c>
      <c r="G46" s="161">
        <f>E46/D46</f>
        <v>0.77246215004529528</v>
      </c>
      <c r="H46" s="113"/>
      <c r="I46" s="349">
        <f>INDEX(rgTarif_TxFinal,MATCH($A46,Fees!$B$11:$B$51,0))</f>
        <v>143.22175307165315</v>
      </c>
      <c r="J46" s="112">
        <v>95.416294244131819</v>
      </c>
      <c r="K46" s="403">
        <f t="shared" si="6"/>
        <v>0.5010198646491808</v>
      </c>
    </row>
    <row r="47" spans="1:11" ht="15.75" thickBot="1">
      <c r="A47" s="56" t="s">
        <v>71</v>
      </c>
      <c r="B47" s="23"/>
      <c r="C47" s="164">
        <f>SUBTOTAL(9,C18:C46)</f>
        <v>483750.19400000002</v>
      </c>
      <c r="D47" s="177">
        <f t="shared" ref="D47:E47" si="16">SUBTOTAL(9,D18:D46)</f>
        <v>483750.19400000002</v>
      </c>
      <c r="E47" s="177">
        <f t="shared" si="16"/>
        <v>278117.2121324644</v>
      </c>
      <c r="F47" s="177">
        <f t="shared" si="4"/>
        <v>205632.98186753562</v>
      </c>
      <c r="G47" s="160">
        <f>E47/D47</f>
        <v>0.57491907100395789</v>
      </c>
      <c r="H47" s="109"/>
      <c r="I47" s="348">
        <f>INDEX(rgTarif_TxFinal,MATCH($A47,Fees!$B$11:$B$51,0))</f>
        <v>225.38567376200632</v>
      </c>
      <c r="J47" s="108">
        <v>212.67044878122283</v>
      </c>
      <c r="K47" s="400">
        <f t="shared" si="6"/>
        <v>5.978839586624396E-2</v>
      </c>
    </row>
    <row r="48" spans="1:11">
      <c r="A48" s="38"/>
      <c r="B48" s="35"/>
      <c r="C48" s="165"/>
      <c r="D48" s="178"/>
      <c r="E48" s="178"/>
      <c r="F48" s="178"/>
      <c r="G48" s="155"/>
      <c r="H48" s="140"/>
      <c r="I48" s="117"/>
      <c r="J48" s="116"/>
      <c r="K48" s="401"/>
    </row>
    <row r="49" spans="1:11" ht="15.75" thickBot="1">
      <c r="A49" s="57" t="s">
        <v>1</v>
      </c>
      <c r="B49" s="14"/>
      <c r="C49" s="168">
        <f>SUBTOTAL(9,C9:C47)</f>
        <v>644994.44999999995</v>
      </c>
      <c r="D49" s="181">
        <f t="shared" ref="D49:E49" si="17">SUBTOTAL(9,D9:D47)</f>
        <v>644994.44999999995</v>
      </c>
      <c r="E49" s="181">
        <f t="shared" si="17"/>
        <v>406590.86812763795</v>
      </c>
      <c r="F49" s="181">
        <f>D49-E49</f>
        <v>238403.581872362</v>
      </c>
      <c r="G49" s="244">
        <f>E49/D49</f>
        <v>0.63037886314779601</v>
      </c>
      <c r="H49" s="141"/>
      <c r="I49" s="350">
        <f>INDEX(rgTarif_TxFinal,MATCH($A49,Fees!$B$11:$B$51,0))</f>
        <v>215.96968531619348</v>
      </c>
      <c r="J49" s="118">
        <v>205.26809292959612</v>
      </c>
      <c r="K49" s="404">
        <f>IF(J49&gt;0,I49/J49-1,0)</f>
        <v>5.2134709461483908E-2</v>
      </c>
    </row>
    <row r="50" spans="1:11" ht="15.75" thickTop="1">
      <c r="C50" s="248"/>
    </row>
    <row r="51" spans="1:11">
      <c r="C51" s="248"/>
    </row>
    <row r="52" spans="1:11">
      <c r="C52" s="248"/>
    </row>
    <row r="53" spans="1:11">
      <c r="C53" s="248"/>
    </row>
    <row r="54" spans="1:11">
      <c r="C54" s="248"/>
    </row>
    <row r="55" spans="1:11">
      <c r="C55" s="248"/>
    </row>
    <row r="56" spans="1:11">
      <c r="C56" s="248"/>
    </row>
    <row r="57" spans="1:11">
      <c r="C57" s="248"/>
    </row>
    <row r="58" spans="1:11">
      <c r="C58" s="248"/>
    </row>
    <row r="59" spans="1:11">
      <c r="C59" s="248"/>
    </row>
    <row r="60" spans="1:11">
      <c r="C60" s="248"/>
    </row>
    <row r="61" spans="1:11">
      <c r="C61" s="248"/>
    </row>
    <row r="62" spans="1:11">
      <c r="C62" s="248"/>
    </row>
    <row r="63" spans="1:11">
      <c r="C63" s="248"/>
    </row>
    <row r="64" spans="1:11">
      <c r="C64" s="248"/>
    </row>
    <row r="65" spans="3:3">
      <c r="C65" s="248"/>
    </row>
    <row r="66" spans="3:3">
      <c r="C66" s="248"/>
    </row>
    <row r="67" spans="3:3">
      <c r="C67" s="248"/>
    </row>
    <row r="68" spans="3:3">
      <c r="C68" s="248"/>
    </row>
    <row r="69" spans="3:3">
      <c r="C69" s="248"/>
    </row>
    <row r="70" spans="3:3">
      <c r="C70" s="248"/>
    </row>
    <row r="71" spans="3:3">
      <c r="C71" s="248"/>
    </row>
    <row r="72" spans="3:3">
      <c r="C72" s="248"/>
    </row>
    <row r="73" spans="3:3">
      <c r="C73" s="248"/>
    </row>
    <row r="74" spans="3:3">
      <c r="C74" s="248"/>
    </row>
    <row r="75" spans="3:3">
      <c r="C75" s="248"/>
    </row>
    <row r="76" spans="3:3">
      <c r="C76" s="248"/>
    </row>
    <row r="77" spans="3:3">
      <c r="C77" s="248"/>
    </row>
    <row r="78" spans="3:3">
      <c r="C78" s="248"/>
    </row>
    <row r="79" spans="3:3">
      <c r="C79" s="248"/>
    </row>
    <row r="80" spans="3:3">
      <c r="C80" s="248"/>
    </row>
    <row r="81" spans="3:3">
      <c r="C81" s="248"/>
    </row>
    <row r="82" spans="3:3">
      <c r="C82" s="248"/>
    </row>
    <row r="83" spans="3:3">
      <c r="C83" s="248"/>
    </row>
    <row r="84" spans="3:3">
      <c r="C84" s="248"/>
    </row>
    <row r="85" spans="3:3">
      <c r="C85" s="248"/>
    </row>
    <row r="86" spans="3:3">
      <c r="C86" s="248"/>
    </row>
    <row r="87" spans="3:3">
      <c r="C87" s="248"/>
    </row>
    <row r="88" spans="3:3">
      <c r="C88" s="248"/>
    </row>
    <row r="89" spans="3:3">
      <c r="C89" s="248"/>
    </row>
    <row r="90" spans="3:3">
      <c r="C90" s="248"/>
    </row>
    <row r="91" spans="3:3">
      <c r="C91" s="248"/>
    </row>
    <row r="92" spans="3:3">
      <c r="C92" s="248"/>
    </row>
    <row r="93" spans="3:3">
      <c r="C93" s="248"/>
    </row>
    <row r="94" spans="3:3">
      <c r="C94" s="248"/>
    </row>
    <row r="95" spans="3:3">
      <c r="C95" s="248"/>
    </row>
    <row r="96" spans="3:3">
      <c r="C96" s="248"/>
    </row>
    <row r="97" spans="3:3">
      <c r="C97" s="248"/>
    </row>
    <row r="98" spans="3:3">
      <c r="C98" s="248"/>
    </row>
    <row r="99" spans="3:3">
      <c r="C99" s="248"/>
    </row>
    <row r="100" spans="3:3">
      <c r="C100" s="248"/>
    </row>
    <row r="101" spans="3:3">
      <c r="C101" s="248"/>
    </row>
    <row r="102" spans="3:3">
      <c r="C102" s="248"/>
    </row>
    <row r="103" spans="3:3">
      <c r="C103" s="248"/>
    </row>
    <row r="104" spans="3:3">
      <c r="C104" s="248"/>
    </row>
    <row r="105" spans="3:3">
      <c r="C105" s="248"/>
    </row>
    <row r="106" spans="3:3">
      <c r="C106" s="248"/>
    </row>
    <row r="107" spans="3:3">
      <c r="C107" s="248"/>
    </row>
    <row r="108" spans="3:3">
      <c r="C108" s="248"/>
    </row>
    <row r="109" spans="3:3">
      <c r="C109" s="248"/>
    </row>
    <row r="110" spans="3:3">
      <c r="C110" s="248"/>
    </row>
    <row r="111" spans="3:3">
      <c r="C111" s="248"/>
    </row>
    <row r="112" spans="3:3">
      <c r="C112" s="248"/>
    </row>
    <row r="113" spans="3:3">
      <c r="C113" s="248"/>
    </row>
    <row r="114" spans="3:3">
      <c r="C114" s="248"/>
    </row>
    <row r="115" spans="3:3">
      <c r="C115" s="248"/>
    </row>
    <row r="116" spans="3:3">
      <c r="C116" s="248"/>
    </row>
    <row r="117" spans="3:3">
      <c r="C117" s="248"/>
    </row>
    <row r="118" spans="3:3">
      <c r="C118" s="248"/>
    </row>
    <row r="119" spans="3:3">
      <c r="C119" s="248"/>
    </row>
    <row r="120" spans="3:3">
      <c r="C120" s="248"/>
    </row>
    <row r="121" spans="3:3">
      <c r="C121" s="248"/>
    </row>
    <row r="122" spans="3:3">
      <c r="C122" s="248"/>
    </row>
    <row r="123" spans="3:3">
      <c r="C123" s="248"/>
    </row>
    <row r="124" spans="3:3">
      <c r="C124" s="248"/>
    </row>
    <row r="125" spans="3:3">
      <c r="C125" s="248"/>
    </row>
    <row r="126" spans="3:3">
      <c r="C126" s="248"/>
    </row>
    <row r="127" spans="3:3">
      <c r="C127" s="248"/>
    </row>
    <row r="128" spans="3:3">
      <c r="C128" s="248"/>
    </row>
    <row r="129" spans="3:3">
      <c r="C129" s="248"/>
    </row>
    <row r="130" spans="3:3">
      <c r="C130" s="248"/>
    </row>
    <row r="131" spans="3:3">
      <c r="C131" s="248"/>
    </row>
    <row r="132" spans="3:3">
      <c r="C132" s="248"/>
    </row>
    <row r="133" spans="3:3">
      <c r="C133" s="248"/>
    </row>
    <row r="134" spans="3:3">
      <c r="C134" s="248"/>
    </row>
    <row r="135" spans="3:3">
      <c r="C135" s="248"/>
    </row>
    <row r="136" spans="3:3">
      <c r="C136" s="248"/>
    </row>
    <row r="137" spans="3:3">
      <c r="C137" s="248"/>
    </row>
    <row r="138" spans="3:3">
      <c r="C138" s="248"/>
    </row>
    <row r="139" spans="3:3">
      <c r="C139" s="248"/>
    </row>
    <row r="140" spans="3:3">
      <c r="C140" s="248"/>
    </row>
    <row r="141" spans="3:3">
      <c r="C141" s="248"/>
    </row>
    <row r="142" spans="3:3">
      <c r="C142" s="248"/>
    </row>
    <row r="143" spans="3:3">
      <c r="C143" s="248"/>
    </row>
    <row r="144" spans="3:3">
      <c r="C144" s="248"/>
    </row>
    <row r="145" spans="3:3">
      <c r="C145" s="248"/>
    </row>
    <row r="146" spans="3:3">
      <c r="C146" s="248"/>
    </row>
    <row r="147" spans="3:3">
      <c r="C147" s="248"/>
    </row>
    <row r="148" spans="3:3">
      <c r="C148" s="248"/>
    </row>
    <row r="149" spans="3:3">
      <c r="C149" s="248"/>
    </row>
    <row r="150" spans="3:3">
      <c r="C150" s="248"/>
    </row>
    <row r="151" spans="3:3">
      <c r="C151" s="248"/>
    </row>
    <row r="152" spans="3:3">
      <c r="C152" s="248"/>
    </row>
    <row r="153" spans="3:3">
      <c r="C153" s="248"/>
    </row>
    <row r="154" spans="3:3">
      <c r="C154" s="248"/>
    </row>
    <row r="155" spans="3:3">
      <c r="C155" s="248"/>
    </row>
    <row r="156" spans="3:3">
      <c r="C156" s="248"/>
    </row>
    <row r="157" spans="3:3">
      <c r="C157" s="248"/>
    </row>
    <row r="158" spans="3:3">
      <c r="C158" s="248"/>
    </row>
    <row r="159" spans="3:3">
      <c r="C159" s="248"/>
    </row>
    <row r="160" spans="3:3">
      <c r="C160" s="248"/>
    </row>
    <row r="161" spans="3:3">
      <c r="C161" s="248"/>
    </row>
    <row r="162" spans="3:3">
      <c r="C162" s="248"/>
    </row>
    <row r="163" spans="3:3">
      <c r="C163" s="248"/>
    </row>
    <row r="164" spans="3:3">
      <c r="C164" s="248"/>
    </row>
    <row r="165" spans="3:3">
      <c r="C165" s="248"/>
    </row>
    <row r="166" spans="3:3">
      <c r="C166" s="248"/>
    </row>
    <row r="167" spans="3:3">
      <c r="C167" s="248"/>
    </row>
    <row r="168" spans="3:3">
      <c r="C168" s="248"/>
    </row>
    <row r="169" spans="3:3">
      <c r="C169" s="248"/>
    </row>
    <row r="170" spans="3:3">
      <c r="C170" s="248"/>
    </row>
    <row r="171" spans="3:3">
      <c r="C171" s="248"/>
    </row>
    <row r="172" spans="3:3">
      <c r="C172" s="248"/>
    </row>
    <row r="173" spans="3:3">
      <c r="C173" s="248"/>
    </row>
    <row r="174" spans="3:3">
      <c r="C174" s="248"/>
    </row>
    <row r="175" spans="3:3">
      <c r="C175" s="248"/>
    </row>
    <row r="176" spans="3:3">
      <c r="C176" s="248"/>
    </row>
    <row r="177" spans="3:3">
      <c r="C177" s="248"/>
    </row>
    <row r="178" spans="3:3">
      <c r="C178" s="248"/>
    </row>
    <row r="179" spans="3:3">
      <c r="C179" s="248"/>
    </row>
    <row r="180" spans="3:3">
      <c r="C180" s="248"/>
    </row>
    <row r="181" spans="3:3">
      <c r="C181" s="248"/>
    </row>
    <row r="182" spans="3:3">
      <c r="C182" s="248"/>
    </row>
    <row r="183" spans="3:3">
      <c r="C183" s="248"/>
    </row>
    <row r="184" spans="3:3">
      <c r="C184" s="248"/>
    </row>
    <row r="185" spans="3:3">
      <c r="C185" s="248"/>
    </row>
    <row r="186" spans="3:3">
      <c r="C186" s="248"/>
    </row>
    <row r="187" spans="3:3">
      <c r="C187" s="248"/>
    </row>
    <row r="188" spans="3:3">
      <c r="C188" s="248"/>
    </row>
    <row r="189" spans="3:3">
      <c r="C189" s="248"/>
    </row>
    <row r="190" spans="3:3">
      <c r="C190" s="248"/>
    </row>
    <row r="191" spans="3:3">
      <c r="C191" s="248"/>
    </row>
    <row r="192" spans="3:3">
      <c r="C192" s="248"/>
    </row>
    <row r="193" spans="3:3">
      <c r="C193" s="248"/>
    </row>
    <row r="194" spans="3:3">
      <c r="C194" s="248"/>
    </row>
    <row r="195" spans="3:3">
      <c r="C195" s="248"/>
    </row>
    <row r="196" spans="3:3">
      <c r="C196" s="248"/>
    </row>
    <row r="197" spans="3:3">
      <c r="C197" s="248"/>
    </row>
    <row r="198" spans="3:3">
      <c r="C198" s="248"/>
    </row>
    <row r="199" spans="3:3">
      <c r="C199" s="248"/>
    </row>
    <row r="200" spans="3:3">
      <c r="C200" s="248"/>
    </row>
    <row r="201" spans="3:3">
      <c r="C201" s="248"/>
    </row>
    <row r="202" spans="3:3">
      <c r="C202" s="248"/>
    </row>
    <row r="203" spans="3:3">
      <c r="C203" s="248"/>
    </row>
    <row r="204" spans="3:3">
      <c r="C204" s="248"/>
    </row>
    <row r="205" spans="3:3">
      <c r="C205" s="248"/>
    </row>
    <row r="206" spans="3:3">
      <c r="C206" s="248"/>
    </row>
    <row r="207" spans="3:3">
      <c r="C207" s="248"/>
    </row>
    <row r="208" spans="3:3">
      <c r="C208" s="248"/>
    </row>
    <row r="209" spans="3:3">
      <c r="C209" s="248"/>
    </row>
    <row r="210" spans="3:3">
      <c r="C210" s="248"/>
    </row>
    <row r="211" spans="3:3">
      <c r="C211" s="248"/>
    </row>
    <row r="212" spans="3:3">
      <c r="C212" s="248"/>
    </row>
    <row r="213" spans="3:3">
      <c r="C213" s="248"/>
    </row>
    <row r="214" spans="3:3">
      <c r="C214" s="248"/>
    </row>
    <row r="215" spans="3:3">
      <c r="C215" s="248"/>
    </row>
    <row r="216" spans="3:3">
      <c r="C216" s="248"/>
    </row>
    <row r="217" spans="3:3">
      <c r="C217" s="248"/>
    </row>
    <row r="218" spans="3:3">
      <c r="C218" s="248"/>
    </row>
    <row r="219" spans="3:3">
      <c r="C219" s="248"/>
    </row>
    <row r="220" spans="3:3">
      <c r="C220" s="248"/>
    </row>
    <row r="221" spans="3:3">
      <c r="C221" s="248"/>
    </row>
    <row r="222" spans="3:3">
      <c r="C222" s="248"/>
    </row>
    <row r="223" spans="3:3">
      <c r="C223" s="248"/>
    </row>
    <row r="224" spans="3:3">
      <c r="C224" s="248"/>
    </row>
    <row r="225" spans="3:3">
      <c r="C225" s="248"/>
    </row>
    <row r="226" spans="3:3">
      <c r="C226" s="248"/>
    </row>
    <row r="227" spans="3:3">
      <c r="C227" s="248"/>
    </row>
    <row r="228" spans="3:3">
      <c r="C228" s="248"/>
    </row>
    <row r="229" spans="3:3">
      <c r="C229" s="248"/>
    </row>
    <row r="230" spans="3:3">
      <c r="C230" s="248"/>
    </row>
    <row r="231" spans="3:3">
      <c r="C231" s="248"/>
    </row>
    <row r="232" spans="3:3">
      <c r="C232" s="248"/>
    </row>
    <row r="233" spans="3:3">
      <c r="C233" s="248"/>
    </row>
    <row r="234" spans="3:3">
      <c r="C234" s="248"/>
    </row>
    <row r="235" spans="3:3">
      <c r="C235" s="248"/>
    </row>
    <row r="236" spans="3:3">
      <c r="C236" s="248"/>
    </row>
    <row r="237" spans="3:3">
      <c r="C237" s="248"/>
    </row>
    <row r="238" spans="3:3">
      <c r="C238" s="248"/>
    </row>
    <row r="239" spans="3:3">
      <c r="C239" s="248"/>
    </row>
    <row r="240" spans="3:3">
      <c r="C240" s="248"/>
    </row>
    <row r="241" spans="3:3">
      <c r="C241" s="248"/>
    </row>
    <row r="242" spans="3:3">
      <c r="C242" s="248"/>
    </row>
    <row r="243" spans="3:3">
      <c r="C243" s="248"/>
    </row>
    <row r="244" spans="3:3">
      <c r="C244" s="248"/>
    </row>
    <row r="245" spans="3:3">
      <c r="C245" s="248"/>
    </row>
    <row r="246" spans="3:3">
      <c r="C246" s="248"/>
    </row>
    <row r="247" spans="3:3">
      <c r="C247" s="248"/>
    </row>
    <row r="248" spans="3:3">
      <c r="C248" s="248"/>
    </row>
    <row r="249" spans="3:3">
      <c r="C249" s="248"/>
    </row>
    <row r="250" spans="3:3">
      <c r="C250" s="248"/>
    </row>
    <row r="251" spans="3:3">
      <c r="C251" s="248"/>
    </row>
    <row r="252" spans="3:3">
      <c r="C252" s="248"/>
    </row>
    <row r="253" spans="3:3">
      <c r="C253" s="248"/>
    </row>
    <row r="254" spans="3:3">
      <c r="C254" s="248"/>
    </row>
    <row r="255" spans="3:3">
      <c r="C255" s="248"/>
    </row>
    <row r="256" spans="3:3">
      <c r="C256" s="248"/>
    </row>
    <row r="257" spans="3:3">
      <c r="C257" s="248"/>
    </row>
    <row r="258" spans="3:3">
      <c r="C258" s="248"/>
    </row>
    <row r="259" spans="3:3">
      <c r="C259" s="248"/>
    </row>
    <row r="260" spans="3:3">
      <c r="C260" s="248"/>
    </row>
    <row r="261" spans="3:3">
      <c r="C261" s="248"/>
    </row>
    <row r="262" spans="3:3">
      <c r="C262" s="248"/>
    </row>
    <row r="263" spans="3:3">
      <c r="C263" s="248"/>
    </row>
    <row r="264" spans="3:3">
      <c r="C264" s="248"/>
    </row>
    <row r="265" spans="3:3">
      <c r="C265" s="248"/>
    </row>
    <row r="266" spans="3:3">
      <c r="C266" s="248"/>
    </row>
    <row r="267" spans="3:3">
      <c r="C267" s="248"/>
    </row>
    <row r="268" spans="3:3">
      <c r="C268" s="248"/>
    </row>
    <row r="269" spans="3:3">
      <c r="C269" s="248"/>
    </row>
    <row r="270" spans="3:3">
      <c r="C270" s="248"/>
    </row>
    <row r="271" spans="3:3">
      <c r="C271" s="248"/>
    </row>
    <row r="272" spans="3:3">
      <c r="C272" s="248"/>
    </row>
    <row r="273" spans="3:3">
      <c r="C273" s="248"/>
    </row>
    <row r="274" spans="3:3">
      <c r="C274" s="248"/>
    </row>
    <row r="275" spans="3:3">
      <c r="C275" s="248"/>
    </row>
    <row r="276" spans="3:3">
      <c r="C276" s="248"/>
    </row>
    <row r="277" spans="3:3">
      <c r="C277" s="248"/>
    </row>
    <row r="278" spans="3:3">
      <c r="C278" s="248"/>
    </row>
    <row r="279" spans="3:3">
      <c r="C279" s="248"/>
    </row>
    <row r="280" spans="3:3">
      <c r="C280" s="248"/>
    </row>
    <row r="281" spans="3:3">
      <c r="C281" s="248"/>
    </row>
    <row r="282" spans="3:3">
      <c r="C282" s="248"/>
    </row>
    <row r="283" spans="3:3">
      <c r="C283" s="248"/>
    </row>
    <row r="284" spans="3:3">
      <c r="C284" s="248"/>
    </row>
    <row r="285" spans="3:3">
      <c r="C285" s="248"/>
    </row>
    <row r="286" spans="3:3">
      <c r="C286" s="248"/>
    </row>
    <row r="287" spans="3:3">
      <c r="C287" s="248"/>
    </row>
    <row r="288" spans="3:3">
      <c r="C288" s="248"/>
    </row>
    <row r="289" spans="3:3">
      <c r="C289" s="248"/>
    </row>
    <row r="290" spans="3:3">
      <c r="C290" s="248"/>
    </row>
    <row r="291" spans="3:3">
      <c r="C291" s="248"/>
    </row>
    <row r="292" spans="3:3">
      <c r="C292" s="248"/>
    </row>
    <row r="293" spans="3:3">
      <c r="C293" s="248"/>
    </row>
    <row r="294" spans="3:3">
      <c r="C294" s="248"/>
    </row>
    <row r="295" spans="3:3">
      <c r="C295" s="248"/>
    </row>
    <row r="296" spans="3:3">
      <c r="C296" s="248"/>
    </row>
    <row r="297" spans="3:3">
      <c r="C297" s="248"/>
    </row>
    <row r="298" spans="3:3">
      <c r="C298" s="248"/>
    </row>
    <row r="299" spans="3:3">
      <c r="C299" s="248"/>
    </row>
    <row r="300" spans="3:3">
      <c r="C300" s="248"/>
    </row>
    <row r="301" spans="3:3">
      <c r="C301" s="248"/>
    </row>
    <row r="302" spans="3:3">
      <c r="C302" s="248"/>
    </row>
    <row r="303" spans="3:3">
      <c r="C303" s="248"/>
    </row>
    <row r="304" spans="3:3">
      <c r="C304" s="248"/>
    </row>
    <row r="305" spans="3:3">
      <c r="C305" s="248"/>
    </row>
    <row r="306" spans="3:3">
      <c r="C306" s="248"/>
    </row>
    <row r="307" spans="3:3">
      <c r="C307" s="248"/>
    </row>
    <row r="308" spans="3:3">
      <c r="C308" s="248"/>
    </row>
    <row r="309" spans="3:3">
      <c r="C309" s="248"/>
    </row>
    <row r="310" spans="3:3">
      <c r="C310" s="248"/>
    </row>
    <row r="311" spans="3:3">
      <c r="C311" s="248"/>
    </row>
    <row r="312" spans="3:3">
      <c r="C312" s="248"/>
    </row>
    <row r="313" spans="3:3">
      <c r="C313" s="248"/>
    </row>
    <row r="314" spans="3:3">
      <c r="C314" s="248"/>
    </row>
    <row r="315" spans="3:3">
      <c r="C315" s="248"/>
    </row>
    <row r="316" spans="3:3">
      <c r="C316" s="248"/>
    </row>
    <row r="317" spans="3:3">
      <c r="C317" s="248"/>
    </row>
    <row r="318" spans="3:3">
      <c r="C318" s="248"/>
    </row>
    <row r="319" spans="3:3">
      <c r="C319" s="248"/>
    </row>
    <row r="320" spans="3:3">
      <c r="C320" s="248"/>
    </row>
    <row r="321" spans="3:3">
      <c r="C321" s="248"/>
    </row>
    <row r="322" spans="3:3">
      <c r="C322" s="248"/>
    </row>
    <row r="323" spans="3:3">
      <c r="C323" s="248"/>
    </row>
    <row r="324" spans="3:3">
      <c r="C324" s="248"/>
    </row>
    <row r="325" spans="3:3">
      <c r="C325" s="248"/>
    </row>
    <row r="326" spans="3:3">
      <c r="C326" s="248"/>
    </row>
    <row r="327" spans="3:3">
      <c r="C327" s="248"/>
    </row>
    <row r="328" spans="3:3">
      <c r="C328" s="248"/>
    </row>
    <row r="329" spans="3:3">
      <c r="C329" s="248"/>
    </row>
    <row r="330" spans="3:3">
      <c r="C330" s="248"/>
    </row>
    <row r="331" spans="3:3">
      <c r="C331" s="248"/>
    </row>
    <row r="332" spans="3:3">
      <c r="C332" s="248"/>
    </row>
    <row r="333" spans="3:3">
      <c r="C333" s="248"/>
    </row>
    <row r="334" spans="3:3">
      <c r="C334" s="248"/>
    </row>
    <row r="335" spans="3:3">
      <c r="C335" s="248"/>
    </row>
    <row r="336" spans="3:3">
      <c r="C336" s="248"/>
    </row>
    <row r="337" spans="3:3">
      <c r="C337" s="248"/>
    </row>
    <row r="338" spans="3:3">
      <c r="C338" s="248"/>
    </row>
    <row r="339" spans="3:3">
      <c r="C339" s="248"/>
    </row>
    <row r="340" spans="3:3">
      <c r="C340" s="248"/>
    </row>
    <row r="341" spans="3:3">
      <c r="C341" s="248"/>
    </row>
    <row r="342" spans="3:3">
      <c r="C342" s="248"/>
    </row>
    <row r="343" spans="3:3">
      <c r="C343" s="248"/>
    </row>
    <row r="344" spans="3:3">
      <c r="C344" s="248"/>
    </row>
    <row r="345" spans="3:3">
      <c r="C345" s="248"/>
    </row>
    <row r="346" spans="3:3">
      <c r="C346" s="248"/>
    </row>
    <row r="347" spans="3:3">
      <c r="C347" s="248"/>
    </row>
    <row r="348" spans="3:3">
      <c r="C348" s="248"/>
    </row>
    <row r="349" spans="3:3">
      <c r="C349" s="248"/>
    </row>
    <row r="350" spans="3:3">
      <c r="C350" s="248"/>
    </row>
    <row r="351" spans="3:3">
      <c r="C351" s="248"/>
    </row>
    <row r="352" spans="3:3">
      <c r="C352" s="248"/>
    </row>
    <row r="353" spans="3:3">
      <c r="C353" s="248"/>
    </row>
    <row r="354" spans="3:3">
      <c r="C354" s="248"/>
    </row>
    <row r="355" spans="3:3">
      <c r="C355" s="248"/>
    </row>
    <row r="356" spans="3:3">
      <c r="C356" s="248"/>
    </row>
    <row r="357" spans="3:3">
      <c r="C357" s="248"/>
    </row>
    <row r="358" spans="3:3">
      <c r="C358" s="248"/>
    </row>
    <row r="359" spans="3:3">
      <c r="C359" s="248"/>
    </row>
    <row r="360" spans="3:3">
      <c r="C360" s="248"/>
    </row>
    <row r="361" spans="3:3">
      <c r="C361" s="248"/>
    </row>
    <row r="362" spans="3:3">
      <c r="C362" s="248"/>
    </row>
    <row r="363" spans="3:3">
      <c r="C363" s="248"/>
    </row>
    <row r="364" spans="3:3">
      <c r="C364" s="248"/>
    </row>
    <row r="365" spans="3:3">
      <c r="C365" s="248"/>
    </row>
    <row r="366" spans="3:3">
      <c r="C366" s="248"/>
    </row>
    <row r="367" spans="3:3">
      <c r="C367" s="248"/>
    </row>
    <row r="368" spans="3:3">
      <c r="C368" s="248"/>
    </row>
    <row r="369" spans="3:3">
      <c r="C369" s="248"/>
    </row>
    <row r="370" spans="3:3">
      <c r="C370" s="248"/>
    </row>
    <row r="371" spans="3:3">
      <c r="C371" s="248"/>
    </row>
    <row r="372" spans="3:3">
      <c r="C372" s="248"/>
    </row>
    <row r="373" spans="3:3">
      <c r="C373" s="248"/>
    </row>
    <row r="374" spans="3:3">
      <c r="C374" s="248"/>
    </row>
    <row r="375" spans="3:3">
      <c r="C375" s="248"/>
    </row>
    <row r="376" spans="3:3">
      <c r="C376" s="248"/>
    </row>
    <row r="377" spans="3:3">
      <c r="C377" s="248"/>
    </row>
    <row r="378" spans="3:3">
      <c r="C378" s="248"/>
    </row>
    <row r="379" spans="3:3">
      <c r="C379" s="248"/>
    </row>
    <row r="380" spans="3:3">
      <c r="C380" s="248"/>
    </row>
    <row r="381" spans="3:3">
      <c r="C381" s="248"/>
    </row>
    <row r="382" spans="3:3">
      <c r="C382" s="248"/>
    </row>
    <row r="383" spans="3:3">
      <c r="C383" s="248"/>
    </row>
    <row r="384" spans="3:3">
      <c r="C384" s="248"/>
    </row>
    <row r="385" spans="3:3">
      <c r="C385" s="248"/>
    </row>
    <row r="386" spans="3:3">
      <c r="C386" s="248"/>
    </row>
    <row r="387" spans="3:3">
      <c r="C387" s="248"/>
    </row>
    <row r="388" spans="3:3">
      <c r="C388" s="248"/>
    </row>
    <row r="389" spans="3:3">
      <c r="C389" s="248"/>
    </row>
    <row r="390" spans="3:3">
      <c r="C390" s="248"/>
    </row>
    <row r="391" spans="3:3">
      <c r="C391" s="248"/>
    </row>
    <row r="392" spans="3:3">
      <c r="C392" s="248"/>
    </row>
    <row r="393" spans="3:3">
      <c r="C393" s="248"/>
    </row>
    <row r="394" spans="3:3">
      <c r="C394" s="248"/>
    </row>
    <row r="395" spans="3:3">
      <c r="C395" s="248"/>
    </row>
    <row r="396" spans="3:3">
      <c r="C396" s="248"/>
    </row>
    <row r="397" spans="3:3">
      <c r="C397" s="248"/>
    </row>
    <row r="398" spans="3:3">
      <c r="C398" s="248"/>
    </row>
    <row r="399" spans="3:3">
      <c r="C399" s="248"/>
    </row>
    <row r="400" spans="3:3">
      <c r="C400" s="248"/>
    </row>
    <row r="401" spans="3:3">
      <c r="C401" s="248"/>
    </row>
    <row r="402" spans="3:3">
      <c r="C402" s="248"/>
    </row>
    <row r="403" spans="3:3">
      <c r="C403" s="248"/>
    </row>
    <row r="404" spans="3:3">
      <c r="C404" s="248"/>
    </row>
    <row r="405" spans="3:3">
      <c r="C405" s="248"/>
    </row>
    <row r="406" spans="3:3">
      <c r="C406" s="248"/>
    </row>
    <row r="407" spans="3:3">
      <c r="C407" s="248"/>
    </row>
    <row r="408" spans="3:3">
      <c r="C408" s="248"/>
    </row>
    <row r="409" spans="3:3">
      <c r="C409" s="248"/>
    </row>
    <row r="410" spans="3:3">
      <c r="C410" s="248"/>
    </row>
    <row r="411" spans="3:3">
      <c r="C411" s="248"/>
    </row>
    <row r="412" spans="3:3">
      <c r="C412" s="248"/>
    </row>
    <row r="413" spans="3:3">
      <c r="C413" s="248"/>
    </row>
    <row r="414" spans="3:3">
      <c r="C414" s="248"/>
    </row>
    <row r="415" spans="3:3">
      <c r="C415" s="248"/>
    </row>
    <row r="416" spans="3:3">
      <c r="C416" s="248"/>
    </row>
    <row r="417" spans="3:3">
      <c r="C417" s="248"/>
    </row>
    <row r="418" spans="3:3">
      <c r="C418" s="248"/>
    </row>
    <row r="419" spans="3:3">
      <c r="C419" s="248"/>
    </row>
    <row r="420" spans="3:3">
      <c r="C420" s="248"/>
    </row>
    <row r="421" spans="3:3">
      <c r="C421" s="248"/>
    </row>
    <row r="422" spans="3:3">
      <c r="C422" s="248"/>
    </row>
    <row r="423" spans="3:3">
      <c r="C423" s="248"/>
    </row>
    <row r="424" spans="3:3">
      <c r="C424" s="248"/>
    </row>
    <row r="425" spans="3:3">
      <c r="C425" s="248"/>
    </row>
    <row r="426" spans="3:3">
      <c r="C426" s="248"/>
    </row>
    <row r="427" spans="3:3">
      <c r="C427" s="248"/>
    </row>
    <row r="428" spans="3:3">
      <c r="C428" s="248"/>
    </row>
    <row r="429" spans="3:3">
      <c r="C429" s="248"/>
    </row>
    <row r="430" spans="3:3">
      <c r="C430" s="248"/>
    </row>
    <row r="431" spans="3:3">
      <c r="C431" s="248"/>
    </row>
    <row r="432" spans="3:3">
      <c r="C432" s="248"/>
    </row>
    <row r="433" spans="3:3">
      <c r="C433" s="248"/>
    </row>
    <row r="434" spans="3:3">
      <c r="C434" s="248"/>
    </row>
    <row r="435" spans="3:3">
      <c r="C435" s="248"/>
    </row>
    <row r="436" spans="3:3">
      <c r="C436" s="248"/>
    </row>
    <row r="437" spans="3:3">
      <c r="C437" s="248"/>
    </row>
    <row r="438" spans="3:3">
      <c r="C438" s="248"/>
    </row>
    <row r="439" spans="3:3">
      <c r="C439" s="248"/>
    </row>
    <row r="440" spans="3:3">
      <c r="C440" s="248"/>
    </row>
    <row r="441" spans="3:3">
      <c r="C441" s="248"/>
    </row>
    <row r="442" spans="3:3">
      <c r="C442" s="248"/>
    </row>
    <row r="443" spans="3:3">
      <c r="C443" s="248"/>
    </row>
    <row r="444" spans="3:3">
      <c r="C444" s="248"/>
    </row>
    <row r="445" spans="3:3">
      <c r="C445" s="248"/>
    </row>
    <row r="446" spans="3:3">
      <c r="C446" s="248"/>
    </row>
    <row r="447" spans="3:3">
      <c r="C447" s="248"/>
    </row>
    <row r="448" spans="3:3">
      <c r="C448" s="248"/>
    </row>
    <row r="449" spans="3:3">
      <c r="C449" s="248"/>
    </row>
    <row r="450" spans="3:3">
      <c r="C450" s="248"/>
    </row>
    <row r="451" spans="3:3">
      <c r="C451" s="248"/>
    </row>
    <row r="452" spans="3:3">
      <c r="C452" s="248"/>
    </row>
    <row r="453" spans="3:3">
      <c r="C453" s="248"/>
    </row>
    <row r="454" spans="3:3">
      <c r="C454" s="248"/>
    </row>
    <row r="455" spans="3:3">
      <c r="C455" s="248"/>
    </row>
    <row r="456" spans="3:3">
      <c r="C456" s="248"/>
    </row>
    <row r="457" spans="3:3">
      <c r="C457" s="248"/>
    </row>
    <row r="458" spans="3:3">
      <c r="C458" s="248"/>
    </row>
    <row r="459" spans="3:3">
      <c r="C459" s="248"/>
    </row>
    <row r="460" spans="3:3">
      <c r="C460" s="248"/>
    </row>
    <row r="461" spans="3:3">
      <c r="C461" s="248"/>
    </row>
    <row r="462" spans="3:3">
      <c r="C462" s="248"/>
    </row>
    <row r="463" spans="3:3">
      <c r="C463" s="248"/>
    </row>
    <row r="464" spans="3:3">
      <c r="C464" s="248"/>
    </row>
    <row r="465" spans="3:3">
      <c r="C465" s="248"/>
    </row>
    <row r="466" spans="3:3">
      <c r="C466" s="248"/>
    </row>
    <row r="467" spans="3:3">
      <c r="C467" s="248"/>
    </row>
    <row r="468" spans="3:3">
      <c r="C468" s="248"/>
    </row>
    <row r="469" spans="3:3">
      <c r="C469" s="248"/>
    </row>
    <row r="470" spans="3:3">
      <c r="C470" s="248"/>
    </row>
    <row r="471" spans="3:3">
      <c r="C471" s="248"/>
    </row>
    <row r="472" spans="3:3">
      <c r="C472" s="248"/>
    </row>
    <row r="473" spans="3:3">
      <c r="C473" s="248"/>
    </row>
    <row r="474" spans="3:3">
      <c r="C474" s="248"/>
    </row>
    <row r="475" spans="3:3">
      <c r="C475" s="248"/>
    </row>
    <row r="476" spans="3:3">
      <c r="C476" s="248"/>
    </row>
    <row r="477" spans="3:3">
      <c r="C477" s="248"/>
    </row>
    <row r="478" spans="3:3">
      <c r="C478" s="248"/>
    </row>
    <row r="479" spans="3:3">
      <c r="C479" s="248"/>
    </row>
    <row r="480" spans="3:3">
      <c r="C480" s="248"/>
    </row>
    <row r="481" spans="3:3">
      <c r="C481" s="248"/>
    </row>
    <row r="482" spans="3:3">
      <c r="C482" s="248"/>
    </row>
    <row r="483" spans="3:3">
      <c r="C483" s="248"/>
    </row>
    <row r="484" spans="3:3">
      <c r="C484" s="248"/>
    </row>
    <row r="485" spans="3:3">
      <c r="C485" s="248"/>
    </row>
    <row r="486" spans="3:3">
      <c r="C486" s="248"/>
    </row>
    <row r="487" spans="3:3">
      <c r="C487" s="248"/>
    </row>
    <row r="488" spans="3:3">
      <c r="C488" s="248"/>
    </row>
    <row r="489" spans="3:3">
      <c r="C489" s="248"/>
    </row>
    <row r="490" spans="3:3">
      <c r="C490" s="248"/>
    </row>
    <row r="491" spans="3:3">
      <c r="C491" s="248"/>
    </row>
    <row r="492" spans="3:3">
      <c r="C492" s="248"/>
    </row>
    <row r="493" spans="3:3">
      <c r="C493" s="248"/>
    </row>
    <row r="494" spans="3:3">
      <c r="C494" s="248"/>
    </row>
    <row r="495" spans="3:3">
      <c r="C495" s="248"/>
    </row>
    <row r="496" spans="3:3">
      <c r="C496" s="248"/>
    </row>
    <row r="497" spans="3:3">
      <c r="C497" s="248"/>
    </row>
    <row r="498" spans="3:3">
      <c r="C498" s="248"/>
    </row>
    <row r="499" spans="3:3">
      <c r="C499" s="248"/>
    </row>
    <row r="500" spans="3:3">
      <c r="C500" s="248"/>
    </row>
    <row r="501" spans="3:3">
      <c r="C501" s="248"/>
    </row>
    <row r="502" spans="3:3">
      <c r="C502" s="248"/>
    </row>
    <row r="503" spans="3:3">
      <c r="C503" s="248"/>
    </row>
    <row r="504" spans="3:3">
      <c r="C504" s="248"/>
    </row>
    <row r="505" spans="3:3">
      <c r="C505" s="248"/>
    </row>
    <row r="506" spans="3:3">
      <c r="C506" s="248"/>
    </row>
    <row r="507" spans="3:3">
      <c r="C507" s="248"/>
    </row>
    <row r="508" spans="3:3">
      <c r="C508" s="248"/>
    </row>
    <row r="509" spans="3:3">
      <c r="C509" s="248"/>
    </row>
    <row r="510" spans="3:3">
      <c r="C510" s="248"/>
    </row>
    <row r="511" spans="3:3">
      <c r="C511" s="248"/>
    </row>
    <row r="512" spans="3:3">
      <c r="C512" s="248"/>
    </row>
    <row r="513" spans="3:3">
      <c r="C513" s="248"/>
    </row>
    <row r="514" spans="3:3">
      <c r="C514" s="248"/>
    </row>
    <row r="515" spans="3:3">
      <c r="C515" s="248"/>
    </row>
    <row r="516" spans="3:3">
      <c r="C516" s="248"/>
    </row>
    <row r="517" spans="3:3">
      <c r="C517" s="248"/>
    </row>
    <row r="518" spans="3:3">
      <c r="C518" s="248"/>
    </row>
    <row r="519" spans="3:3">
      <c r="C519" s="248"/>
    </row>
    <row r="520" spans="3:3">
      <c r="C520" s="248"/>
    </row>
    <row r="521" spans="3:3">
      <c r="C521" s="248"/>
    </row>
    <row r="522" spans="3:3">
      <c r="C522" s="248"/>
    </row>
    <row r="523" spans="3:3">
      <c r="C523" s="248"/>
    </row>
    <row r="524" spans="3:3">
      <c r="C524" s="248"/>
    </row>
    <row r="525" spans="3:3">
      <c r="C525" s="248"/>
    </row>
    <row r="526" spans="3:3">
      <c r="C526" s="248"/>
    </row>
    <row r="527" spans="3:3">
      <c r="C527" s="248"/>
    </row>
    <row r="528" spans="3:3">
      <c r="C528" s="248"/>
    </row>
    <row r="529" spans="3:3">
      <c r="C529" s="248"/>
    </row>
    <row r="530" spans="3:3">
      <c r="C530" s="248"/>
    </row>
    <row r="531" spans="3:3">
      <c r="C531" s="248"/>
    </row>
    <row r="532" spans="3:3">
      <c r="C532" s="248"/>
    </row>
    <row r="533" spans="3:3">
      <c r="C533" s="248"/>
    </row>
    <row r="534" spans="3:3">
      <c r="C534" s="248"/>
    </row>
    <row r="535" spans="3:3">
      <c r="C535" s="248"/>
    </row>
    <row r="536" spans="3:3">
      <c r="C536" s="248"/>
    </row>
    <row r="537" spans="3:3">
      <c r="C537" s="248"/>
    </row>
    <row r="538" spans="3:3">
      <c r="C538" s="248"/>
    </row>
    <row r="539" spans="3:3">
      <c r="C539" s="248"/>
    </row>
    <row r="540" spans="3:3">
      <c r="C540" s="248"/>
    </row>
    <row r="541" spans="3:3">
      <c r="C541" s="248"/>
    </row>
    <row r="542" spans="3:3">
      <c r="C542" s="248"/>
    </row>
    <row r="543" spans="3:3">
      <c r="C543" s="248"/>
    </row>
    <row r="544" spans="3:3">
      <c r="C544" s="248"/>
    </row>
    <row r="545" spans="3:3">
      <c r="C545" s="248"/>
    </row>
    <row r="546" spans="3:3">
      <c r="C546" s="248"/>
    </row>
    <row r="547" spans="3:3">
      <c r="C547" s="248"/>
    </row>
    <row r="548" spans="3:3">
      <c r="C548" s="248"/>
    </row>
    <row r="549" spans="3:3">
      <c r="C549" s="248"/>
    </row>
    <row r="550" spans="3:3">
      <c r="C550" s="248"/>
    </row>
    <row r="551" spans="3:3">
      <c r="C551" s="248"/>
    </row>
    <row r="552" spans="3:3">
      <c r="C552" s="248"/>
    </row>
    <row r="553" spans="3:3">
      <c r="C553" s="248"/>
    </row>
    <row r="554" spans="3:3">
      <c r="C554" s="248"/>
    </row>
    <row r="555" spans="3:3">
      <c r="C555" s="248"/>
    </row>
    <row r="556" spans="3:3">
      <c r="C556" s="248"/>
    </row>
    <row r="557" spans="3:3">
      <c r="C557" s="248"/>
    </row>
    <row r="558" spans="3:3">
      <c r="C558" s="248"/>
    </row>
  </sheetData>
  <sheetProtection password="82A0" sheet="1" objects="1" scenarios="1"/>
  <mergeCells count="2">
    <mergeCell ref="C6:H6"/>
    <mergeCell ref="J6:K6"/>
  </mergeCells>
  <conditionalFormatting sqref="K9:K49">
    <cfRule type="dataBar" priority="2">
      <dataBar>
        <cfvo type="min"/>
        <cfvo type="max"/>
        <color rgb="FF638EC6"/>
      </dataBar>
      <extLst>
        <ext xmlns:x14="http://schemas.microsoft.com/office/spreadsheetml/2009/9/main" uri="{B025F937-C7B1-47D3-B67F-A62EFF666E3E}">
          <x14:id>{794E2B5D-073A-460C-A766-FD0B4EFA3E5E}</x14:id>
        </ext>
      </extLst>
    </cfRule>
  </conditionalFormatting>
  <pageMargins left="0.7" right="0.7" top="0.75" bottom="0.75" header="0.3" footer="0.3"/>
  <pageSetup paperSize="3" scale="52" fitToHeight="0" orientation="landscape" r:id="rId1"/>
  <ignoredErrors>
    <ignoredError sqref="G37 G40 G43 H25:I25 H37:I37 H40:I40 H43:I43 K25 K37 K40 K43" formula="1"/>
  </ignoredErrors>
  <drawing r:id="rId2"/>
  <legacyDrawingHF r:id="rId3"/>
  <extLst>
    <ext xmlns:x14="http://schemas.microsoft.com/office/spreadsheetml/2009/9/main" uri="{78C0D931-6437-407d-A8EE-F0AAD7539E65}">
      <x14:conditionalFormattings>
        <x14:conditionalFormatting xmlns:xm="http://schemas.microsoft.com/office/excel/2006/main">
          <x14:cfRule type="dataBar" id="{794E2B5D-073A-460C-A766-FD0B4EFA3E5E}">
            <x14:dataBar minLength="0" maxLength="100" border="1" negativeBarBorderColorSameAsPositive="0">
              <x14:cfvo type="autoMin"/>
              <x14:cfvo type="autoMax"/>
              <x14:borderColor rgb="FF638EC6"/>
              <x14:negativeFillColor theme="6" tint="-0.249977111117893"/>
              <x14:negativeBorderColor theme="6" tint="-0.249977111117893"/>
              <x14:axisColor rgb="FF000000"/>
            </x14:dataBar>
          </x14:cfRule>
          <xm:sqref>K9:K49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59999389629810485"/>
    <pageSetUpPr fitToPage="1"/>
  </sheetPr>
  <dimension ref="A1:J79"/>
  <sheetViews>
    <sheetView showGridLines="0" zoomScale="90" zoomScaleNormal="90" zoomScaleSheetLayoutView="85" workbookViewId="0">
      <selection activeCell="D8" sqref="D8:F8"/>
    </sheetView>
  </sheetViews>
  <sheetFormatPr baseColWidth="10" defaultColWidth="9.140625" defaultRowHeight="14.25"/>
  <cols>
    <col min="1" max="1" width="3.7109375" style="35" customWidth="1"/>
    <col min="2" max="2" width="56.42578125" style="3" customWidth="1"/>
    <col min="3" max="3" width="34.5703125" style="3" customWidth="1"/>
    <col min="4" max="4" width="24.140625" style="3" customWidth="1"/>
    <col min="5" max="5" width="26.85546875" style="35" customWidth="1"/>
    <col min="6" max="6" width="26.85546875" style="3" customWidth="1"/>
    <col min="7" max="7" width="18" style="3" bestFit="1" customWidth="1"/>
    <col min="8" max="8" width="19.5703125" style="3" bestFit="1" customWidth="1"/>
    <col min="9" max="9" width="21.140625" style="3" customWidth="1"/>
    <col min="10" max="10" width="12.42578125" style="3" bestFit="1" customWidth="1"/>
    <col min="11" max="16384" width="9.140625" style="3"/>
  </cols>
  <sheetData>
    <row r="1" spans="1:10" s="5" customFormat="1" ht="15.75" thickBot="1">
      <c r="A1" s="36"/>
      <c r="B1" s="4" t="s">
        <v>16</v>
      </c>
      <c r="E1" s="36"/>
    </row>
    <row r="2" spans="1:10">
      <c r="B2" s="2"/>
      <c r="C2" s="2"/>
    </row>
    <row r="3" spans="1:10" ht="15.75" thickBot="1">
      <c r="B3" s="365" t="s">
        <v>15</v>
      </c>
      <c r="C3" s="366"/>
      <c r="J3" s="37"/>
    </row>
    <row r="4" spans="1:10" s="35" customFormat="1" ht="15" thickTop="1">
      <c r="B4" s="425" t="s">
        <v>12</v>
      </c>
      <c r="C4" s="260">
        <v>2015</v>
      </c>
      <c r="J4" s="37"/>
    </row>
    <row r="5" spans="1:10">
      <c r="B5" s="425" t="s">
        <v>13</v>
      </c>
      <c r="C5" s="261" t="s">
        <v>210</v>
      </c>
      <c r="J5" s="37"/>
    </row>
    <row r="6" spans="1:10">
      <c r="B6" s="426" t="s">
        <v>14</v>
      </c>
      <c r="C6" s="262">
        <v>2014</v>
      </c>
      <c r="J6" s="37"/>
    </row>
    <row r="7" spans="1:10" ht="18.75" customHeight="1">
      <c r="C7" s="263"/>
      <c r="J7" s="37"/>
    </row>
    <row r="8" spans="1:10" ht="15">
      <c r="B8" s="480" t="s">
        <v>72</v>
      </c>
      <c r="C8" s="481"/>
      <c r="D8" s="646"/>
      <c r="E8" s="646"/>
      <c r="F8" s="646"/>
      <c r="J8" s="37"/>
    </row>
    <row r="9" spans="1:10" s="35" customFormat="1" ht="15.75" customHeight="1">
      <c r="B9" s="482" t="s">
        <v>73</v>
      </c>
      <c r="C9" s="483">
        <v>153816915.38999996</v>
      </c>
      <c r="D9" s="467"/>
      <c r="E9" s="360"/>
      <c r="F9" s="360"/>
      <c r="J9" s="37"/>
    </row>
    <row r="10" spans="1:10" ht="15.75" customHeight="1">
      <c r="B10" s="425" t="s">
        <v>74</v>
      </c>
      <c r="C10" s="358">
        <v>-6.6000000000000003E-2</v>
      </c>
      <c r="D10" s="467"/>
      <c r="E10" s="360"/>
      <c r="F10" s="360"/>
      <c r="J10" s="37"/>
    </row>
    <row r="11" spans="1:10" s="35" customFormat="1" ht="15.75" customHeight="1">
      <c r="B11" s="425" t="s">
        <v>75</v>
      </c>
      <c r="C11" s="250">
        <v>-4.7852239677565946E-2</v>
      </c>
      <c r="D11" s="467"/>
      <c r="E11" s="411"/>
      <c r="F11" s="411"/>
      <c r="J11" s="37"/>
    </row>
    <row r="12" spans="1:10" ht="15.75" customHeight="1">
      <c r="B12" s="425" t="s">
        <v>76</v>
      </c>
      <c r="C12" s="250">
        <f>8.55%</f>
        <v>8.5500000000000007E-2</v>
      </c>
      <c r="D12" s="488"/>
      <c r="E12" s="511"/>
      <c r="F12" s="511"/>
      <c r="J12" s="37"/>
    </row>
    <row r="13" spans="1:10" ht="15.75" customHeight="1">
      <c r="B13" s="427" t="s">
        <v>77</v>
      </c>
      <c r="C13" s="249">
        <v>1</v>
      </c>
      <c r="D13" s="488"/>
      <c r="E13" s="511"/>
      <c r="F13" s="511"/>
      <c r="J13" s="37"/>
    </row>
    <row r="14" spans="1:10" ht="15.75" customHeight="1">
      <c r="B14" s="425" t="s">
        <v>78</v>
      </c>
      <c r="C14" s="369">
        <f>PartCoutImprimés+PartCoutContenants</f>
        <v>0.91300000000000003</v>
      </c>
      <c r="D14" s="643"/>
      <c r="E14" s="643"/>
      <c r="F14" s="643"/>
      <c r="J14" s="37"/>
    </row>
    <row r="15" spans="1:10" s="35" customFormat="1" ht="15.75" customHeight="1">
      <c r="B15" s="425" t="s">
        <v>79</v>
      </c>
      <c r="C15" s="357">
        <v>7600000</v>
      </c>
      <c r="D15" s="467"/>
      <c r="E15" s="360"/>
      <c r="F15" s="360"/>
      <c r="J15" s="37"/>
    </row>
    <row r="16" spans="1:10" ht="15.75" customHeight="1">
      <c r="B16" s="425" t="s">
        <v>80</v>
      </c>
      <c r="C16" s="356">
        <v>0.02</v>
      </c>
      <c r="D16" s="467"/>
      <c r="E16" s="360"/>
      <c r="F16" s="360"/>
      <c r="J16" s="37"/>
    </row>
    <row r="17" spans="2:10" ht="15.75" customHeight="1">
      <c r="B17" s="425" t="s">
        <v>81</v>
      </c>
      <c r="C17" s="355">
        <v>3260542</v>
      </c>
      <c r="D17" s="643"/>
      <c r="E17" s="643"/>
      <c r="F17" s="643"/>
      <c r="J17" s="37"/>
    </row>
    <row r="18" spans="2:10" ht="15.75" customHeight="1">
      <c r="B18" s="425" t="s">
        <v>82</v>
      </c>
      <c r="C18" s="355">
        <v>2724458</v>
      </c>
      <c r="D18" s="643"/>
      <c r="E18" s="643"/>
      <c r="F18" s="643"/>
      <c r="J18" s="37"/>
    </row>
    <row r="19" spans="2:10" ht="15.75" customHeight="1">
      <c r="B19" s="425" t="s">
        <v>83</v>
      </c>
      <c r="C19" s="479">
        <v>0.02</v>
      </c>
      <c r="D19" s="478"/>
      <c r="E19" s="412"/>
      <c r="F19" s="412"/>
      <c r="G19" s="146"/>
      <c r="H19" s="146"/>
      <c r="I19" s="146"/>
      <c r="J19" s="37"/>
    </row>
    <row r="20" spans="2:10" s="35" customFormat="1" ht="15.75" customHeight="1">
      <c r="B20" s="426" t="s">
        <v>84</v>
      </c>
      <c r="C20" s="435">
        <v>-1100000</v>
      </c>
      <c r="D20" s="467"/>
      <c r="E20" s="412"/>
      <c r="F20" s="412"/>
      <c r="G20" s="146"/>
      <c r="H20" s="146"/>
      <c r="I20" s="146"/>
      <c r="J20" s="37"/>
    </row>
    <row r="21" spans="2:10" ht="20.25" customHeight="1">
      <c r="C21" s="263"/>
      <c r="D21" s="354"/>
      <c r="J21" s="37"/>
    </row>
    <row r="22" spans="2:10" ht="15.75" thickBot="1">
      <c r="B22" s="367" t="s">
        <v>85</v>
      </c>
      <c r="C22" s="368"/>
      <c r="D22" s="354"/>
      <c r="J22" s="37"/>
    </row>
    <row r="23" spans="2:10" ht="15" thickTop="1">
      <c r="B23" s="425" t="s">
        <v>86</v>
      </c>
      <c r="C23" s="249">
        <v>0.4</v>
      </c>
      <c r="D23" s="354"/>
      <c r="J23" s="37"/>
    </row>
    <row r="24" spans="2:10">
      <c r="B24" s="425" t="s">
        <v>87</v>
      </c>
      <c r="C24" s="249">
        <v>0.4</v>
      </c>
      <c r="D24" s="354"/>
      <c r="J24" s="37"/>
    </row>
    <row r="25" spans="2:10">
      <c r="B25" s="425" t="s">
        <v>88</v>
      </c>
      <c r="C25" s="249">
        <v>0.2</v>
      </c>
      <c r="D25" s="354"/>
      <c r="J25" s="37"/>
    </row>
    <row r="26" spans="2:10">
      <c r="B26" s="428" t="s">
        <v>89</v>
      </c>
      <c r="C26" s="251">
        <v>1</v>
      </c>
      <c r="D26" s="354"/>
      <c r="J26" s="37"/>
    </row>
    <row r="27" spans="2:10" ht="21" customHeight="1">
      <c r="C27" s="263"/>
      <c r="D27" s="354"/>
      <c r="J27" s="37"/>
    </row>
    <row r="28" spans="2:10" ht="15.75" thickBot="1">
      <c r="B28" s="370" t="s">
        <v>90</v>
      </c>
      <c r="C28" s="368"/>
      <c r="D28" s="354"/>
      <c r="J28" s="37"/>
    </row>
    <row r="29" spans="2:10" ht="15" thickTop="1">
      <c r="B29" s="425" t="s">
        <v>91</v>
      </c>
      <c r="C29" s="369">
        <v>0.19400000000000001</v>
      </c>
      <c r="D29" s="359"/>
      <c r="J29" s="37"/>
    </row>
    <row r="30" spans="2:10">
      <c r="B30" s="428" t="s">
        <v>92</v>
      </c>
      <c r="C30" s="353">
        <v>0.71899999999999997</v>
      </c>
      <c r="D30" s="359"/>
      <c r="J30" s="37"/>
    </row>
    <row r="31" spans="2:10" ht="19.5" customHeight="1">
      <c r="C31" s="263"/>
      <c r="D31" s="354"/>
      <c r="J31" s="37"/>
    </row>
    <row r="32" spans="2:10" ht="15.75" thickBot="1">
      <c r="B32" s="367" t="s">
        <v>93</v>
      </c>
      <c r="C32" s="368"/>
      <c r="D32" s="354"/>
      <c r="J32" s="37"/>
    </row>
    <row r="33" spans="2:9" ht="15" customHeight="1" thickTop="1">
      <c r="B33" s="429" t="s">
        <v>94</v>
      </c>
      <c r="C33" s="252">
        <v>0.15</v>
      </c>
      <c r="D33" s="392"/>
    </row>
    <row r="34" spans="2:9">
      <c r="B34" s="430" t="s">
        <v>95</v>
      </c>
      <c r="C34" s="253">
        <v>0.2</v>
      </c>
      <c r="D34" s="392"/>
      <c r="F34" s="35"/>
    </row>
    <row r="35" spans="2:9" ht="20.25" customHeight="1">
      <c r="B35" s="7"/>
      <c r="C35" s="264"/>
      <c r="D35" s="354"/>
      <c r="G35" s="282"/>
    </row>
    <row r="36" spans="2:9" ht="15.75" thickBot="1">
      <c r="B36" s="370" t="s">
        <v>96</v>
      </c>
      <c r="C36" s="371"/>
      <c r="D36" s="354"/>
      <c r="F36" s="283"/>
    </row>
    <row r="37" spans="2:9" ht="15" thickTop="1">
      <c r="B37" s="425" t="s">
        <v>97</v>
      </c>
      <c r="C37" s="357"/>
      <c r="D37" s="361"/>
      <c r="F37" s="283"/>
      <c r="G37" s="284"/>
    </row>
    <row r="38" spans="2:9">
      <c r="B38" s="425" t="s">
        <v>98</v>
      </c>
      <c r="C38" s="452">
        <v>0</v>
      </c>
      <c r="D38" s="392"/>
      <c r="E38" s="647"/>
      <c r="F38" s="647"/>
      <c r="G38" s="647"/>
      <c r="H38" s="647"/>
      <c r="I38" s="647"/>
    </row>
    <row r="39" spans="2:9" ht="15">
      <c r="B39" s="431" t="s">
        <v>99</v>
      </c>
      <c r="C39" s="432"/>
      <c r="D39" s="146"/>
      <c r="E39" s="647"/>
      <c r="F39" s="647"/>
      <c r="G39" s="647"/>
      <c r="H39" s="647"/>
      <c r="I39" s="647"/>
    </row>
    <row r="40" spans="2:9" s="35" customFormat="1">
      <c r="B40" s="433" t="s">
        <v>100</v>
      </c>
      <c r="C40" s="355">
        <v>-3800000</v>
      </c>
      <c r="D40" s="453"/>
      <c r="E40" s="424"/>
      <c r="F40" s="424"/>
      <c r="G40" s="424"/>
      <c r="H40" s="424"/>
      <c r="I40" s="424"/>
    </row>
    <row r="41" spans="2:9" s="35" customFormat="1">
      <c r="B41" s="425" t="s">
        <v>28</v>
      </c>
      <c r="C41" s="355">
        <v>0</v>
      </c>
      <c r="D41" s="146"/>
      <c r="E41" s="424"/>
      <c r="F41" s="424"/>
      <c r="G41" s="424"/>
      <c r="H41" s="424"/>
      <c r="I41" s="424"/>
    </row>
    <row r="42" spans="2:9" s="35" customFormat="1">
      <c r="B42" s="426" t="s">
        <v>92</v>
      </c>
      <c r="C42" s="435">
        <v>0</v>
      </c>
      <c r="D42" s="146"/>
      <c r="E42" s="424"/>
      <c r="F42" s="424"/>
      <c r="G42" s="424"/>
      <c r="H42" s="424"/>
      <c r="I42" s="424"/>
    </row>
    <row r="43" spans="2:9" s="35" customFormat="1">
      <c r="B43" s="578"/>
      <c r="C43" s="579"/>
      <c r="D43" s="146"/>
      <c r="E43" s="569"/>
      <c r="F43" s="569"/>
      <c r="G43" s="569"/>
      <c r="H43" s="569"/>
      <c r="I43" s="569"/>
    </row>
    <row r="44" spans="2:9" s="35" customFormat="1" ht="27.75" customHeight="1">
      <c r="B44" s="578" t="s">
        <v>101</v>
      </c>
      <c r="C44" s="580">
        <v>0.5</v>
      </c>
      <c r="D44" s="146"/>
      <c r="E44" s="569"/>
      <c r="F44" s="569"/>
      <c r="G44" s="569"/>
      <c r="H44" s="569"/>
      <c r="I44" s="569"/>
    </row>
    <row r="45" spans="2:9" ht="15" thickBot="1">
      <c r="F45" s="283"/>
    </row>
    <row r="46" spans="2:9" ht="15">
      <c r="C46" s="644" t="s">
        <v>102</v>
      </c>
      <c r="D46" s="645"/>
      <c r="E46" s="3"/>
      <c r="F46" s="283"/>
    </row>
    <row r="47" spans="2:9" ht="30.75" thickBot="1">
      <c r="B47" s="515" t="s">
        <v>64</v>
      </c>
      <c r="C47" s="170" t="s">
        <v>103</v>
      </c>
      <c r="D47" s="170" t="s">
        <v>104</v>
      </c>
      <c r="E47" s="170" t="s">
        <v>105</v>
      </c>
      <c r="F47" s="240" t="s">
        <v>106</v>
      </c>
    </row>
    <row r="48" spans="2:9" ht="15" thickTop="1">
      <c r="B48" s="516" t="s">
        <v>29</v>
      </c>
      <c r="C48" s="517">
        <v>169.72788477579965</v>
      </c>
      <c r="D48" s="517">
        <v>75.332065206007883</v>
      </c>
      <c r="E48" s="518"/>
      <c r="F48" s="519">
        <v>0</v>
      </c>
    </row>
    <row r="49" spans="2:6">
      <c r="B49" s="520" t="s">
        <v>30</v>
      </c>
      <c r="C49" s="513">
        <v>166.39290013808409</v>
      </c>
      <c r="D49" s="513">
        <v>73.153008582348562</v>
      </c>
      <c r="E49" s="514"/>
      <c r="F49" s="521">
        <v>0</v>
      </c>
    </row>
    <row r="50" spans="2:6">
      <c r="B50" s="520" t="s">
        <v>0</v>
      </c>
      <c r="C50" s="513">
        <v>164.35730748701044</v>
      </c>
      <c r="D50" s="513">
        <v>73.567588697758424</v>
      </c>
      <c r="E50" s="514"/>
      <c r="F50" s="521">
        <v>0</v>
      </c>
    </row>
    <row r="51" spans="2:6">
      <c r="B51" s="520" t="s">
        <v>31</v>
      </c>
      <c r="C51" s="513">
        <v>166.79364171278405</v>
      </c>
      <c r="D51" s="513">
        <v>71.148817027272301</v>
      </c>
      <c r="E51" s="514"/>
      <c r="F51" s="521">
        <v>0</v>
      </c>
    </row>
    <row r="52" spans="2:6">
      <c r="B52" s="520" t="s">
        <v>32</v>
      </c>
      <c r="C52" s="513">
        <v>167.56600211042783</v>
      </c>
      <c r="D52" s="513">
        <v>71.029789977591292</v>
      </c>
      <c r="E52" s="514"/>
      <c r="F52" s="521">
        <v>0</v>
      </c>
    </row>
    <row r="53" spans="2:6">
      <c r="B53" s="520" t="s">
        <v>33</v>
      </c>
      <c r="C53" s="513">
        <v>172.77872783111425</v>
      </c>
      <c r="D53" s="513">
        <v>65.539103801495926</v>
      </c>
      <c r="E53" s="514"/>
      <c r="F53" s="521">
        <v>0</v>
      </c>
    </row>
    <row r="54" spans="2:6">
      <c r="B54" s="520" t="s">
        <v>36</v>
      </c>
      <c r="C54" s="513">
        <v>242.44432734821206</v>
      </c>
      <c r="D54" s="513">
        <v>88.758193070403635</v>
      </c>
      <c r="E54" s="514"/>
      <c r="F54" s="521">
        <v>-846127.78079999902</v>
      </c>
    </row>
    <row r="55" spans="2:6">
      <c r="B55" s="520" t="s">
        <v>37</v>
      </c>
      <c r="C55" s="513">
        <v>242.44432734821206</v>
      </c>
      <c r="D55" s="513">
        <v>88.758193070403635</v>
      </c>
      <c r="E55" s="514"/>
      <c r="F55" s="521">
        <v>-41137.08839999995</v>
      </c>
    </row>
    <row r="56" spans="2:6">
      <c r="B56" s="520" t="s">
        <v>38</v>
      </c>
      <c r="C56" s="513">
        <v>242.44432734821206</v>
      </c>
      <c r="D56" s="513">
        <v>88.758193070403635</v>
      </c>
      <c r="E56" s="514"/>
      <c r="F56" s="521">
        <v>-4612.8195999999953</v>
      </c>
    </row>
    <row r="57" spans="2:6">
      <c r="B57" s="520" t="s">
        <v>39</v>
      </c>
      <c r="C57" s="513">
        <v>222.89</v>
      </c>
      <c r="D57" s="513">
        <v>73.59</v>
      </c>
      <c r="E57" s="514"/>
      <c r="F57" s="521">
        <v>-347606.30807999987</v>
      </c>
    </row>
    <row r="58" spans="2:6">
      <c r="B58" s="520" t="s">
        <v>40</v>
      </c>
      <c r="C58" s="513">
        <v>253.66340713032608</v>
      </c>
      <c r="D58" s="513">
        <v>71.375170862239642</v>
      </c>
      <c r="E58" s="514"/>
      <c r="F58" s="521">
        <v>-99881.882099999973</v>
      </c>
    </row>
    <row r="59" spans="2:6">
      <c r="B59" s="520" t="s">
        <v>41</v>
      </c>
      <c r="C59" s="513">
        <v>264.55625404850372</v>
      </c>
      <c r="D59" s="513">
        <v>37.843922147128509</v>
      </c>
      <c r="E59" s="514"/>
      <c r="F59" s="521">
        <v>-309749.51372000022</v>
      </c>
    </row>
    <row r="60" spans="2:6">
      <c r="B60" s="520" t="s">
        <v>42</v>
      </c>
      <c r="C60" s="513">
        <v>249.79123840473002</v>
      </c>
      <c r="D60" s="513">
        <v>63.679871675323923</v>
      </c>
      <c r="E60" s="514"/>
      <c r="F60" s="521">
        <v>-76025.423250000007</v>
      </c>
    </row>
    <row r="61" spans="2:6">
      <c r="B61" s="520" t="s">
        <v>44</v>
      </c>
      <c r="C61" s="513">
        <v>504.66950684735929</v>
      </c>
      <c r="D61" s="513">
        <v>298.66732096778912</v>
      </c>
      <c r="E61" s="514"/>
      <c r="F61" s="521">
        <v>-238720.46319999892</v>
      </c>
    </row>
    <row r="62" spans="2:6">
      <c r="B62" s="520" t="s">
        <v>45</v>
      </c>
      <c r="C62" s="513">
        <v>438.19871526060439</v>
      </c>
      <c r="D62" s="513">
        <v>358.77255105008879</v>
      </c>
      <c r="E62" s="514"/>
      <c r="F62" s="521">
        <v>-197818.37084999995</v>
      </c>
    </row>
    <row r="63" spans="2:6">
      <c r="B63" s="520" t="s">
        <v>46</v>
      </c>
      <c r="C63" s="513">
        <v>474.20041448241329</v>
      </c>
      <c r="D63" s="513">
        <v>-55.041457183679881</v>
      </c>
      <c r="E63" s="514"/>
      <c r="F63" s="521">
        <v>-190143.5489599999</v>
      </c>
    </row>
    <row r="64" spans="2:6">
      <c r="B64" s="520" t="s">
        <v>47</v>
      </c>
      <c r="C64" s="513">
        <v>629.02736574643279</v>
      </c>
      <c r="D64" s="513">
        <v>-6.6195306319440776</v>
      </c>
      <c r="E64" s="514"/>
      <c r="F64" s="521">
        <v>-345464.9839199998</v>
      </c>
    </row>
    <row r="65" spans="2:6">
      <c r="B65" s="520" t="s">
        <v>48</v>
      </c>
      <c r="C65" s="513">
        <v>629.02736574643279</v>
      </c>
      <c r="D65" s="513">
        <v>-6.6195306319440776</v>
      </c>
      <c r="E65" s="514"/>
      <c r="F65" s="521">
        <v>-145111.77599999993</v>
      </c>
    </row>
    <row r="66" spans="2:6">
      <c r="B66" s="520" t="s">
        <v>49</v>
      </c>
      <c r="C66" s="513">
        <v>1970.4541126228219</v>
      </c>
      <c r="D66" s="513">
        <v>-23.30865656861976</v>
      </c>
      <c r="E66" s="514"/>
      <c r="F66" s="521">
        <v>-9084.7575000000979</v>
      </c>
    </row>
    <row r="67" spans="2:6">
      <c r="B67" s="520" t="s">
        <v>50</v>
      </c>
      <c r="C67" s="513">
        <v>1970.4541126228219</v>
      </c>
      <c r="D67" s="513">
        <v>-23.30865656861976</v>
      </c>
      <c r="E67" s="514"/>
      <c r="F67" s="521">
        <v>-3885.4137000000419</v>
      </c>
    </row>
    <row r="68" spans="2:6">
      <c r="B68" s="520" t="s">
        <v>51</v>
      </c>
      <c r="C68" s="513">
        <v>389.53318714584924</v>
      </c>
      <c r="D68" s="513">
        <v>7.5935223568260266</v>
      </c>
      <c r="E68" s="514"/>
      <c r="F68" s="521">
        <v>-10626.590100000116</v>
      </c>
    </row>
    <row r="69" spans="2:6">
      <c r="B69" s="520" t="s">
        <v>52</v>
      </c>
      <c r="C69" s="513">
        <v>373.08</v>
      </c>
      <c r="D69" s="513">
        <v>46.71</v>
      </c>
      <c r="E69" s="514"/>
      <c r="F69" s="521">
        <v>-72798.607799999678</v>
      </c>
    </row>
    <row r="70" spans="2:6">
      <c r="B70" s="520" t="s">
        <v>53</v>
      </c>
      <c r="C70" s="513">
        <v>512.82240445693878</v>
      </c>
      <c r="D70" s="513">
        <v>282.31562432014283</v>
      </c>
      <c r="E70" s="514"/>
      <c r="F70" s="521">
        <v>-186.34140000000201</v>
      </c>
    </row>
    <row r="71" spans="2:6">
      <c r="B71" s="520" t="s">
        <v>54</v>
      </c>
      <c r="C71" s="513">
        <v>380.47</v>
      </c>
      <c r="D71" s="513">
        <v>111.9</v>
      </c>
      <c r="E71" s="514"/>
      <c r="F71" s="521">
        <v>-122283.42010999864</v>
      </c>
    </row>
    <row r="72" spans="2:6">
      <c r="B72" s="520" t="s">
        <v>55</v>
      </c>
      <c r="C72" s="513">
        <v>415.62857125357999</v>
      </c>
      <c r="D72" s="513">
        <v>622.6824268872673</v>
      </c>
      <c r="E72" s="514"/>
      <c r="F72" s="521">
        <v>-34457.498899999991</v>
      </c>
    </row>
    <row r="73" spans="2:6">
      <c r="B73" s="520" t="s">
        <v>56</v>
      </c>
      <c r="C73" s="513">
        <v>388.20984489728426</v>
      </c>
      <c r="D73" s="513">
        <v>450.54057421259438</v>
      </c>
      <c r="E73" s="514"/>
      <c r="F73" s="521">
        <v>-24492.757959999992</v>
      </c>
    </row>
    <row r="74" spans="2:6">
      <c r="B74" s="520" t="s">
        <v>58</v>
      </c>
      <c r="C74" s="513">
        <v>371.94419990136953</v>
      </c>
      <c r="D74" s="513">
        <v>571.29893568913508</v>
      </c>
      <c r="E74" s="514"/>
      <c r="F74" s="521">
        <v>-17882.666759999964</v>
      </c>
    </row>
    <row r="75" spans="2:6">
      <c r="B75" s="520" t="s">
        <v>59</v>
      </c>
      <c r="C75" s="513">
        <v>277.10493091321689</v>
      </c>
      <c r="D75" s="513">
        <v>219.29840536479117</v>
      </c>
      <c r="E75" s="514"/>
      <c r="F75" s="521">
        <v>-287394.06875999941</v>
      </c>
    </row>
    <row r="76" spans="2:6">
      <c r="B76" s="520" t="s">
        <v>61</v>
      </c>
      <c r="C76" s="513">
        <v>136.90188685491088</v>
      </c>
      <c r="D76" s="513">
        <v>-42.518992159558358</v>
      </c>
      <c r="E76" s="514"/>
      <c r="F76" s="521">
        <v>0</v>
      </c>
    </row>
    <row r="77" spans="2:6">
      <c r="B77" s="522" t="s">
        <v>62</v>
      </c>
      <c r="C77" s="523">
        <v>136.25083495406378</v>
      </c>
      <c r="D77" s="523">
        <v>-44.207563273629816</v>
      </c>
      <c r="E77" s="524"/>
      <c r="F77" s="525">
        <v>0</v>
      </c>
    </row>
    <row r="78" spans="2:6">
      <c r="B78" s="105"/>
      <c r="C78" s="37"/>
      <c r="D78" s="37"/>
    </row>
    <row r="79" spans="2:6">
      <c r="B79" s="105"/>
    </row>
  </sheetData>
  <sheetProtection password="82A0" sheet="1" objects="1" scenarios="1"/>
  <mergeCells count="6">
    <mergeCell ref="D14:F14"/>
    <mergeCell ref="C46:D46"/>
    <mergeCell ref="D8:F8"/>
    <mergeCell ref="D17:F17"/>
    <mergeCell ref="D18:F18"/>
    <mergeCell ref="E38:I39"/>
  </mergeCells>
  <pageMargins left="0.7" right="0.7" top="0.75" bottom="0.75" header="0.3" footer="0.3"/>
  <pageSetup scale="50" fitToHeight="0" orientation="landscape" r:id="rId1"/>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59999389629810485"/>
    <pageSetUpPr fitToPage="1"/>
  </sheetPr>
  <dimension ref="A1:K46"/>
  <sheetViews>
    <sheetView showGridLines="0" zoomScale="90" zoomScaleNormal="90" zoomScaleSheetLayoutView="90" workbookViewId="0">
      <pane xSplit="3" ySplit="5" topLeftCell="D6" activePane="bottomRight" state="frozen"/>
      <selection pane="topRight" activeCell="D1" sqref="D1"/>
      <selection pane="bottomLeft" activeCell="A6" sqref="A6"/>
      <selection pane="bottomRight" activeCell="H30" sqref="H30"/>
    </sheetView>
  </sheetViews>
  <sheetFormatPr baseColWidth="10" defaultColWidth="9.140625" defaultRowHeight="14.25"/>
  <cols>
    <col min="1" max="1" width="2.28515625" style="35" customWidth="1"/>
    <col min="2" max="2" width="16.42578125" style="3" customWidth="1"/>
    <col min="3" max="3" width="52.140625" style="3" bestFit="1" customWidth="1"/>
    <col min="4" max="4" width="15.85546875" style="3" customWidth="1"/>
    <col min="5" max="5" width="20.140625" style="3" bestFit="1" customWidth="1"/>
    <col min="6" max="6" width="18.85546875" style="3" customWidth="1"/>
    <col min="7" max="16384" width="9.140625" style="3"/>
  </cols>
  <sheetData>
    <row r="1" spans="1:11" s="35" customFormat="1"/>
    <row r="2" spans="1:11" s="5" customFormat="1" ht="15.75" thickBot="1">
      <c r="A2" s="36"/>
      <c r="B2" s="4" t="s">
        <v>107</v>
      </c>
    </row>
    <row r="3" spans="1:11" s="7" customFormat="1">
      <c r="A3" s="37"/>
      <c r="B3" s="288"/>
      <c r="C3" s="288"/>
      <c r="D3" s="288"/>
    </row>
    <row r="4" spans="1:11" ht="40.5" customHeight="1">
      <c r="B4" s="649" t="s">
        <v>108</v>
      </c>
      <c r="C4" s="650"/>
      <c r="D4" s="650"/>
      <c r="E4" s="650"/>
    </row>
    <row r="5" spans="1:11" ht="47.25">
      <c r="B5" s="268" t="s">
        <v>63</v>
      </c>
      <c r="C5" s="269" t="s">
        <v>64</v>
      </c>
      <c r="D5" s="270" t="s">
        <v>209</v>
      </c>
      <c r="E5" s="270" t="s">
        <v>109</v>
      </c>
    </row>
    <row r="6" spans="1:11" ht="15">
      <c r="B6" s="12" t="s">
        <v>28</v>
      </c>
      <c r="C6" s="37" t="s">
        <v>29</v>
      </c>
      <c r="D6" s="372">
        <v>129</v>
      </c>
      <c r="E6" s="362">
        <v>100503348</v>
      </c>
      <c r="F6" s="456"/>
      <c r="I6"/>
      <c r="J6"/>
      <c r="K6"/>
    </row>
    <row r="7" spans="1:11" s="35" customFormat="1" ht="15">
      <c r="B7" s="41" t="s">
        <v>28</v>
      </c>
      <c r="C7" s="37" t="s">
        <v>30</v>
      </c>
      <c r="D7" s="373">
        <v>174</v>
      </c>
      <c r="E7" s="363">
        <v>16909731</v>
      </c>
      <c r="F7" s="456"/>
      <c r="I7"/>
      <c r="J7"/>
      <c r="K7"/>
    </row>
    <row r="8" spans="1:11" ht="15">
      <c r="B8" s="41" t="s">
        <v>28</v>
      </c>
      <c r="C8" s="37" t="s">
        <v>0</v>
      </c>
      <c r="D8" s="373">
        <v>47</v>
      </c>
      <c r="E8" s="363">
        <v>10816571</v>
      </c>
      <c r="F8" s="456"/>
      <c r="I8"/>
      <c r="J8"/>
      <c r="K8"/>
    </row>
    <row r="9" spans="1:11" ht="15">
      <c r="B9" s="41" t="s">
        <v>28</v>
      </c>
      <c r="C9" s="37" t="s">
        <v>31</v>
      </c>
      <c r="D9" s="373">
        <v>2</v>
      </c>
      <c r="E9" s="363">
        <v>1956911</v>
      </c>
      <c r="F9" s="456"/>
      <c r="I9"/>
      <c r="J9"/>
      <c r="K9"/>
    </row>
    <row r="10" spans="1:11" ht="15">
      <c r="B10" s="41" t="s">
        <v>28</v>
      </c>
      <c r="C10" s="37" t="s">
        <v>32</v>
      </c>
      <c r="D10" s="373">
        <v>107</v>
      </c>
      <c r="E10" s="363">
        <v>4514693</v>
      </c>
      <c r="F10" s="456"/>
      <c r="I10"/>
      <c r="J10"/>
      <c r="K10"/>
    </row>
    <row r="11" spans="1:11" ht="15">
      <c r="B11" s="41" t="s">
        <v>28</v>
      </c>
      <c r="C11" s="37" t="s">
        <v>33</v>
      </c>
      <c r="D11" s="373">
        <v>543</v>
      </c>
      <c r="E11" s="363">
        <v>26543002</v>
      </c>
      <c r="F11" s="456"/>
      <c r="I11"/>
      <c r="J11"/>
      <c r="K11"/>
    </row>
    <row r="12" spans="1:11" ht="15">
      <c r="B12" s="41" t="s">
        <v>35</v>
      </c>
      <c r="C12" s="37" t="s">
        <v>36</v>
      </c>
      <c r="D12" s="373">
        <v>443</v>
      </c>
      <c r="E12" s="363">
        <v>57170796</v>
      </c>
      <c r="F12" s="456"/>
      <c r="I12"/>
      <c r="J12"/>
      <c r="K12"/>
    </row>
    <row r="13" spans="1:11" ht="15">
      <c r="B13" s="41" t="s">
        <v>35</v>
      </c>
      <c r="C13" s="37" t="s">
        <v>37</v>
      </c>
      <c r="D13" s="373">
        <v>59</v>
      </c>
      <c r="E13" s="363">
        <v>2779533</v>
      </c>
      <c r="F13" s="456"/>
      <c r="I13"/>
      <c r="J13"/>
      <c r="K13"/>
    </row>
    <row r="14" spans="1:11" ht="15">
      <c r="B14" s="41" t="s">
        <v>35</v>
      </c>
      <c r="C14" s="37" t="s">
        <v>38</v>
      </c>
      <c r="D14" s="373">
        <v>27</v>
      </c>
      <c r="E14" s="363">
        <v>311677</v>
      </c>
      <c r="F14" s="456"/>
      <c r="I14"/>
      <c r="J14"/>
      <c r="K14"/>
    </row>
    <row r="15" spans="1:11" ht="15">
      <c r="B15" s="41" t="s">
        <v>35</v>
      </c>
      <c r="C15" s="37" t="s">
        <v>39</v>
      </c>
      <c r="D15" s="373">
        <v>646</v>
      </c>
      <c r="E15" s="363">
        <v>87558264</v>
      </c>
      <c r="F15" s="456"/>
      <c r="I15"/>
      <c r="J15"/>
      <c r="K15"/>
    </row>
    <row r="16" spans="1:11" ht="15">
      <c r="B16" s="41" t="s">
        <v>35</v>
      </c>
      <c r="C16" s="37" t="s">
        <v>40</v>
      </c>
      <c r="D16" s="373">
        <v>44</v>
      </c>
      <c r="E16" s="363">
        <v>12195590</v>
      </c>
      <c r="F16" s="456"/>
      <c r="I16"/>
      <c r="J16"/>
      <c r="K16"/>
    </row>
    <row r="17" spans="2:11" ht="15">
      <c r="B17" s="41" t="s">
        <v>35</v>
      </c>
      <c r="C17" s="37" t="s">
        <v>41</v>
      </c>
      <c r="D17" s="373">
        <v>299</v>
      </c>
      <c r="E17" s="363">
        <v>12555716</v>
      </c>
      <c r="F17" s="456"/>
      <c r="I17"/>
      <c r="J17"/>
      <c r="K17"/>
    </row>
    <row r="18" spans="2:11" s="35" customFormat="1" ht="15">
      <c r="B18" s="41" t="s">
        <v>35</v>
      </c>
      <c r="C18" s="37" t="s">
        <v>42</v>
      </c>
      <c r="D18" s="373">
        <v>43</v>
      </c>
      <c r="E18" s="363">
        <v>6206157</v>
      </c>
      <c r="F18" s="456"/>
      <c r="I18"/>
      <c r="J18"/>
      <c r="K18"/>
    </row>
    <row r="19" spans="2:11" s="35" customFormat="1" ht="15">
      <c r="B19" s="41" t="s">
        <v>43</v>
      </c>
      <c r="C19" s="37" t="s">
        <v>44</v>
      </c>
      <c r="D19" s="373">
        <v>190</v>
      </c>
      <c r="E19" s="363">
        <v>23176744</v>
      </c>
      <c r="F19" s="456"/>
      <c r="I19"/>
      <c r="J19"/>
      <c r="K19"/>
    </row>
    <row r="20" spans="2:11" s="35" customFormat="1" ht="15">
      <c r="B20" s="41" t="s">
        <v>43</v>
      </c>
      <c r="C20" s="37" t="s">
        <v>45</v>
      </c>
      <c r="D20" s="373">
        <v>265</v>
      </c>
      <c r="E20" s="363">
        <v>16609435</v>
      </c>
      <c r="F20" s="456"/>
      <c r="I20"/>
      <c r="J20"/>
      <c r="K20"/>
    </row>
    <row r="21" spans="2:11" s="35" customFormat="1" ht="15">
      <c r="B21" s="41" t="s">
        <v>43</v>
      </c>
      <c r="C21" s="37" t="s">
        <v>46</v>
      </c>
      <c r="D21" s="373">
        <v>355</v>
      </c>
      <c r="E21" s="363">
        <v>12064946</v>
      </c>
      <c r="F21" s="456"/>
      <c r="I21" s="446"/>
      <c r="J21"/>
      <c r="K21"/>
    </row>
    <row r="22" spans="2:11" s="35" customFormat="1" ht="15">
      <c r="B22" s="41" t="s">
        <v>43</v>
      </c>
      <c r="C22" s="37" t="s">
        <v>47</v>
      </c>
      <c r="D22" s="373">
        <v>470</v>
      </c>
      <c r="E22" s="363">
        <v>21920367</v>
      </c>
      <c r="F22" s="456"/>
      <c r="I22" s="446"/>
      <c r="J22"/>
      <c r="K22"/>
    </row>
    <row r="23" spans="2:11" s="35" customFormat="1" ht="15">
      <c r="B23" s="41" t="s">
        <v>43</v>
      </c>
      <c r="C23" s="37" t="s">
        <v>48</v>
      </c>
      <c r="D23" s="373">
        <v>181</v>
      </c>
      <c r="E23" s="363">
        <v>9207600</v>
      </c>
      <c r="F23" s="456"/>
      <c r="I23" s="446"/>
      <c r="J23"/>
      <c r="K23"/>
    </row>
    <row r="24" spans="2:11" s="35" customFormat="1" ht="15">
      <c r="B24" s="41" t="s">
        <v>43</v>
      </c>
      <c r="C24" s="37" t="s">
        <v>49</v>
      </c>
      <c r="D24" s="373">
        <v>65</v>
      </c>
      <c r="E24" s="363">
        <v>4326075</v>
      </c>
      <c r="F24" s="456"/>
      <c r="I24"/>
      <c r="J24"/>
      <c r="K24"/>
    </row>
    <row r="25" spans="2:11" s="35" customFormat="1" ht="15">
      <c r="B25" s="41" t="s">
        <v>43</v>
      </c>
      <c r="C25" s="37" t="s">
        <v>50</v>
      </c>
      <c r="D25" s="373">
        <v>117</v>
      </c>
      <c r="E25" s="363">
        <v>1850197</v>
      </c>
      <c r="F25" s="456"/>
      <c r="I25"/>
      <c r="J25"/>
      <c r="K25"/>
    </row>
    <row r="26" spans="2:11" s="35" customFormat="1" ht="15">
      <c r="B26" s="41" t="s">
        <v>43</v>
      </c>
      <c r="C26" s="37" t="s">
        <v>51</v>
      </c>
      <c r="D26" s="373">
        <v>150</v>
      </c>
      <c r="E26" s="363">
        <v>5060281</v>
      </c>
      <c r="F26" s="456"/>
      <c r="I26"/>
      <c r="J26"/>
      <c r="K26"/>
    </row>
    <row r="27" spans="2:11" s="35" customFormat="1" ht="15">
      <c r="B27" s="41" t="s">
        <v>43</v>
      </c>
      <c r="C27" s="37" t="s">
        <v>52</v>
      </c>
      <c r="D27" s="373">
        <v>110</v>
      </c>
      <c r="E27" s="363">
        <v>7067826</v>
      </c>
      <c r="F27" s="456"/>
      <c r="I27"/>
      <c r="J27"/>
      <c r="K27"/>
    </row>
    <row r="28" spans="2:11" ht="15">
      <c r="B28" s="41" t="s">
        <v>43</v>
      </c>
      <c r="C28" s="37" t="s">
        <v>53</v>
      </c>
      <c r="D28" s="373">
        <v>39</v>
      </c>
      <c r="E28" s="363">
        <v>88734</v>
      </c>
      <c r="F28" s="456"/>
      <c r="I28"/>
      <c r="J28"/>
      <c r="K28"/>
    </row>
    <row r="29" spans="2:11" ht="15">
      <c r="B29" s="41" t="s">
        <v>43</v>
      </c>
      <c r="C29" s="37" t="s">
        <v>54</v>
      </c>
      <c r="D29" s="373">
        <v>534</v>
      </c>
      <c r="E29" s="363">
        <v>33319733</v>
      </c>
      <c r="F29" s="456"/>
      <c r="I29"/>
      <c r="J29"/>
      <c r="K29"/>
    </row>
    <row r="30" spans="2:11" ht="15">
      <c r="B30" s="41" t="s">
        <v>2</v>
      </c>
      <c r="C30" s="37" t="s">
        <v>55</v>
      </c>
      <c r="D30" s="373">
        <v>89</v>
      </c>
      <c r="E30" s="363">
        <v>2927570</v>
      </c>
      <c r="F30" s="456"/>
      <c r="I30"/>
      <c r="J30"/>
      <c r="K30"/>
    </row>
    <row r="31" spans="2:11" ht="15">
      <c r="B31" s="41" t="s">
        <v>2</v>
      </c>
      <c r="C31" s="37" t="s">
        <v>56</v>
      </c>
      <c r="D31" s="373">
        <v>228</v>
      </c>
      <c r="E31" s="363">
        <v>2080948</v>
      </c>
      <c r="F31" s="456"/>
      <c r="I31"/>
      <c r="J31"/>
      <c r="K31"/>
    </row>
    <row r="32" spans="2:11" s="35" customFormat="1" ht="15">
      <c r="B32" s="41" t="s">
        <v>57</v>
      </c>
      <c r="C32" s="37" t="s">
        <v>58</v>
      </c>
      <c r="D32" s="373">
        <v>104</v>
      </c>
      <c r="E32" s="363">
        <v>1674407</v>
      </c>
      <c r="F32" s="456"/>
      <c r="I32"/>
      <c r="J32"/>
      <c r="K32"/>
    </row>
    <row r="33" spans="2:11" s="35" customFormat="1" ht="15">
      <c r="B33" s="41" t="s">
        <v>57</v>
      </c>
      <c r="C33" s="37" t="s">
        <v>59</v>
      </c>
      <c r="D33" s="373">
        <v>210</v>
      </c>
      <c r="E33" s="363">
        <v>26909557</v>
      </c>
      <c r="F33" s="456"/>
      <c r="I33"/>
      <c r="J33"/>
      <c r="K33"/>
    </row>
    <row r="34" spans="2:11" ht="15">
      <c r="B34" s="41" t="s">
        <v>60</v>
      </c>
      <c r="C34" s="37" t="s">
        <v>61</v>
      </c>
      <c r="D34" s="373">
        <v>199</v>
      </c>
      <c r="E34" s="363">
        <v>54262899</v>
      </c>
      <c r="F34" s="456"/>
      <c r="I34"/>
      <c r="J34"/>
      <c r="K34"/>
    </row>
    <row r="35" spans="2:11" ht="15">
      <c r="B35" s="41" t="s">
        <v>60</v>
      </c>
      <c r="C35" s="37" t="s">
        <v>62</v>
      </c>
      <c r="D35" s="374">
        <v>122</v>
      </c>
      <c r="E35" s="364">
        <v>82425142</v>
      </c>
      <c r="F35" s="456"/>
      <c r="I35"/>
      <c r="J35"/>
      <c r="K35"/>
    </row>
    <row r="36" spans="2:11" ht="15.75" thickBot="1">
      <c r="B36" s="351" t="s">
        <v>4</v>
      </c>
      <c r="C36" s="13" t="s">
        <v>3</v>
      </c>
      <c r="D36" s="259">
        <f>SUM(D6:D35)</f>
        <v>5991</v>
      </c>
      <c r="E36" s="258">
        <f>SUM(E6:E35)</f>
        <v>644994450</v>
      </c>
      <c r="F36" s="456"/>
      <c r="I36"/>
    </row>
    <row r="37" spans="2:11" ht="15.75" thickTop="1">
      <c r="I37"/>
    </row>
    <row r="38" spans="2:11" ht="48" customHeight="1">
      <c r="B38" s="648" t="s">
        <v>110</v>
      </c>
      <c r="C38" s="648"/>
      <c r="D38" s="648"/>
      <c r="E38" s="648"/>
      <c r="I38"/>
    </row>
    <row r="39" spans="2:11" ht="15">
      <c r="I39"/>
    </row>
    <row r="40" spans="2:11" ht="15">
      <c r="I40"/>
    </row>
    <row r="41" spans="2:11" ht="15">
      <c r="E41" s="447"/>
      <c r="I41"/>
    </row>
    <row r="42" spans="2:11" ht="15">
      <c r="E42" s="447"/>
      <c r="I42"/>
    </row>
    <row r="43" spans="2:11" ht="15">
      <c r="D43" s="35"/>
      <c r="E43" s="448"/>
      <c r="I43"/>
    </row>
    <row r="44" spans="2:11" ht="15">
      <c r="D44" s="35"/>
      <c r="E44" s="448"/>
      <c r="I44"/>
    </row>
    <row r="45" spans="2:11" ht="15">
      <c r="D45" s="35"/>
      <c r="I45"/>
    </row>
    <row r="46" spans="2:11" ht="15">
      <c r="I46"/>
    </row>
  </sheetData>
  <sheetProtection password="82A0" sheet="1" objects="1" scenarios="1"/>
  <mergeCells count="2">
    <mergeCell ref="B38:E38"/>
    <mergeCell ref="B4:E4"/>
  </mergeCells>
  <pageMargins left="0.7" right="0.7" top="0.75" bottom="0.75" header="0.3" footer="0.3"/>
  <pageSetup fitToHeight="0" orientation="landscape"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pageSetUpPr fitToPage="1"/>
  </sheetPr>
  <dimension ref="A1:F37"/>
  <sheetViews>
    <sheetView showGridLines="0" zoomScaleNormal="100" zoomScaleSheetLayoutView="70" workbookViewId="0">
      <pane xSplit="2" ySplit="6" topLeftCell="C7" activePane="bottomRight" state="frozen"/>
      <selection pane="topRight" activeCell="C1" sqref="C1"/>
      <selection pane="bottomLeft" activeCell="A3" sqref="A3"/>
      <selection pane="bottomRight" activeCell="B7" sqref="B7:B36"/>
    </sheetView>
  </sheetViews>
  <sheetFormatPr baseColWidth="10" defaultColWidth="9.140625" defaultRowHeight="15"/>
  <cols>
    <col min="1" max="1" width="2.28515625" style="470" customWidth="1"/>
    <col min="2" max="2" width="54" style="470" customWidth="1"/>
    <col min="3" max="3" width="19.140625" style="469" customWidth="1"/>
    <col min="4" max="4" width="21.85546875" style="469" bestFit="1" customWidth="1"/>
    <col min="5" max="6" width="19.140625" style="469" customWidth="1"/>
    <col min="7" max="7" width="53" style="469" customWidth="1"/>
    <col min="8" max="8" width="3.7109375" style="469" customWidth="1"/>
    <col min="9" max="9" width="35.42578125" style="469" bestFit="1" customWidth="1"/>
    <col min="10" max="10" width="53.85546875" style="469" bestFit="1" customWidth="1"/>
    <col min="11" max="13" width="22.140625" style="469" customWidth="1"/>
    <col min="14" max="14" width="26.28515625" style="469" customWidth="1"/>
    <col min="15" max="15" width="17.140625" style="469" customWidth="1"/>
    <col min="16" max="16" width="13.42578125" style="469" customWidth="1"/>
    <col min="17" max="16384" width="9.140625" style="469"/>
  </cols>
  <sheetData>
    <row r="1" spans="2:6" ht="6.75" customHeight="1"/>
    <row r="2" spans="2:6">
      <c r="B2" s="470" t="s">
        <v>111</v>
      </c>
    </row>
    <row r="3" spans="2:6">
      <c r="B3" s="512" t="s">
        <v>7</v>
      </c>
    </row>
    <row r="4" spans="2:6">
      <c r="B4" s="512"/>
    </row>
    <row r="5" spans="2:6">
      <c r="C5" s="651" t="s">
        <v>8</v>
      </c>
      <c r="D5" s="652"/>
      <c r="E5" s="652"/>
      <c r="F5" s="653"/>
    </row>
    <row r="6" spans="2:6">
      <c r="B6" s="471" t="s">
        <v>64</v>
      </c>
      <c r="C6" s="472" t="s">
        <v>20</v>
      </c>
      <c r="D6" s="472" t="s">
        <v>21</v>
      </c>
      <c r="E6" s="472" t="s">
        <v>22</v>
      </c>
      <c r="F6" s="472" t="s">
        <v>23</v>
      </c>
    </row>
    <row r="7" spans="2:6">
      <c r="B7" t="s">
        <v>29</v>
      </c>
      <c r="C7" s="281">
        <v>90861.46380138777</v>
      </c>
      <c r="D7" s="281">
        <v>77627.29357474194</v>
      </c>
      <c r="E7" s="281">
        <f>C7-D7</f>
        <v>13234.170226645831</v>
      </c>
      <c r="F7" s="446">
        <f>D7/C7</f>
        <v>0.85434782059450265</v>
      </c>
    </row>
    <row r="8" spans="2:6">
      <c r="B8" t="s">
        <v>30</v>
      </c>
      <c r="C8" s="281">
        <v>35540.79588043785</v>
      </c>
      <c r="D8" s="281">
        <v>28503.423612783965</v>
      </c>
      <c r="E8" s="281">
        <f t="shared" ref="E8:E37" si="0">C8-D8</f>
        <v>7037.3722676538855</v>
      </c>
      <c r="F8" s="446">
        <f t="shared" ref="F8:F37" si="1">D8/C8</f>
        <v>0.80199170858952673</v>
      </c>
    </row>
    <row r="9" spans="2:6">
      <c r="B9" t="s">
        <v>0</v>
      </c>
      <c r="C9" s="281">
        <v>28786.174106782688</v>
      </c>
      <c r="D9" s="281">
        <v>24245.046336976306</v>
      </c>
      <c r="E9" s="281">
        <f t="shared" si="0"/>
        <v>4541.1277698063823</v>
      </c>
      <c r="F9" s="446">
        <f t="shared" si="1"/>
        <v>0.84224622025278495</v>
      </c>
    </row>
    <row r="10" spans="2:6">
      <c r="B10" t="s">
        <v>31</v>
      </c>
      <c r="C10" s="281">
        <v>5522.7920458002463</v>
      </c>
      <c r="D10" s="281">
        <v>4971.6024015148369</v>
      </c>
      <c r="E10" s="281">
        <f t="shared" si="0"/>
        <v>551.18964428540949</v>
      </c>
      <c r="F10" s="446">
        <f t="shared" si="1"/>
        <v>0.90019728432386725</v>
      </c>
    </row>
    <row r="11" spans="2:6">
      <c r="B11" t="s">
        <v>32</v>
      </c>
      <c r="C11" s="281">
        <v>24731.61970211118</v>
      </c>
      <c r="D11" s="281">
        <v>16380.768258039338</v>
      </c>
      <c r="E11" s="281">
        <f t="shared" si="0"/>
        <v>8350.8514440718427</v>
      </c>
      <c r="F11" s="446">
        <f t="shared" si="1"/>
        <v>0.66234110241639432</v>
      </c>
    </row>
    <row r="12" spans="2:6">
      <c r="B12" t="s">
        <v>33</v>
      </c>
      <c r="C12" s="281">
        <v>46500.085840739666</v>
      </c>
      <c r="D12" s="281">
        <v>26602.761162461007</v>
      </c>
      <c r="E12" s="281">
        <f t="shared" si="0"/>
        <v>19897.324678278659</v>
      </c>
      <c r="F12" s="446">
        <f t="shared" si="1"/>
        <v>0.57210133447009226</v>
      </c>
    </row>
    <row r="13" spans="2:6">
      <c r="B13" t="s">
        <v>36</v>
      </c>
      <c r="C13" s="281">
        <v>104729.80966964345</v>
      </c>
      <c r="D13" s="281">
        <v>74256.36451725784</v>
      </c>
      <c r="E13" s="281">
        <f t="shared" si="0"/>
        <v>30473.445152385611</v>
      </c>
      <c r="F13" s="446">
        <f t="shared" si="1"/>
        <v>0.70902797161085152</v>
      </c>
    </row>
    <row r="14" spans="2:6">
      <c r="B14" t="s">
        <v>37</v>
      </c>
      <c r="C14" s="281">
        <v>6526.8707615769417</v>
      </c>
      <c r="D14" s="281">
        <v>2242.239443297517</v>
      </c>
      <c r="E14" s="281">
        <f t="shared" si="0"/>
        <v>4284.6313182794247</v>
      </c>
      <c r="F14" s="446">
        <f t="shared" si="1"/>
        <v>0.34353973369556573</v>
      </c>
    </row>
    <row r="15" spans="2:6">
      <c r="B15" t="s">
        <v>38</v>
      </c>
      <c r="C15" s="281">
        <v>7418.1920445125033</v>
      </c>
      <c r="D15" s="281">
        <v>2359.5209358808675</v>
      </c>
      <c r="E15" s="281">
        <f t="shared" si="0"/>
        <v>5058.6711086316354</v>
      </c>
      <c r="F15" s="446">
        <f t="shared" si="1"/>
        <v>0.31807223670170254</v>
      </c>
    </row>
    <row r="16" spans="2:6">
      <c r="B16" t="s">
        <v>39</v>
      </c>
      <c r="C16" s="281">
        <v>112057.58435142423</v>
      </c>
      <c r="D16" s="281">
        <v>63198.314623640021</v>
      </c>
      <c r="E16" s="281">
        <f t="shared" si="0"/>
        <v>48859.269727784209</v>
      </c>
      <c r="F16" s="446">
        <f t="shared" si="1"/>
        <v>0.56398069786551475</v>
      </c>
    </row>
    <row r="17" spans="2:6">
      <c r="B17" t="s">
        <v>40</v>
      </c>
      <c r="C17" s="281">
        <v>13006.304337273137</v>
      </c>
      <c r="D17" s="281">
        <v>8929.0275891509373</v>
      </c>
      <c r="E17" s="281">
        <f t="shared" si="0"/>
        <v>4077.2767481221999</v>
      </c>
      <c r="F17" s="446">
        <f t="shared" si="1"/>
        <v>0.68651535114108908</v>
      </c>
    </row>
    <row r="18" spans="2:6">
      <c r="B18" t="s">
        <v>41</v>
      </c>
      <c r="C18" s="281">
        <v>12504.147839377478</v>
      </c>
      <c r="D18" s="281">
        <v>3378.1546301607941</v>
      </c>
      <c r="E18" s="281">
        <f t="shared" si="0"/>
        <v>9125.9932092166837</v>
      </c>
      <c r="F18" s="446">
        <f t="shared" si="1"/>
        <v>0.27016272308637201</v>
      </c>
    </row>
    <row r="19" spans="2:6">
      <c r="B19" t="s">
        <v>42</v>
      </c>
      <c r="C19" s="281">
        <v>7669.6511253238805</v>
      </c>
      <c r="D19" s="281">
        <v>4008.857328163082</v>
      </c>
      <c r="E19" s="281">
        <f t="shared" si="0"/>
        <v>3660.7937971607985</v>
      </c>
      <c r="F19" s="446">
        <f t="shared" si="1"/>
        <v>0.52269096242546398</v>
      </c>
    </row>
    <row r="20" spans="2:6">
      <c r="B20" t="s">
        <v>44</v>
      </c>
      <c r="C20" s="281">
        <v>24778.734182797823</v>
      </c>
      <c r="D20" s="281">
        <v>14565.599919960148</v>
      </c>
      <c r="E20" s="281">
        <f t="shared" si="0"/>
        <v>10213.134262837675</v>
      </c>
      <c r="F20" s="446">
        <f t="shared" si="1"/>
        <v>0.58782663442396688</v>
      </c>
    </row>
    <row r="21" spans="2:6">
      <c r="B21" t="s">
        <v>45</v>
      </c>
      <c r="C21" s="281">
        <v>20996.571439131305</v>
      </c>
      <c r="D21" s="281">
        <v>13045.413221379396</v>
      </c>
      <c r="E21" s="281">
        <f t="shared" si="0"/>
        <v>7951.1582177519085</v>
      </c>
      <c r="F21" s="446">
        <f t="shared" si="1"/>
        <v>0.62131159171381012</v>
      </c>
    </row>
    <row r="22" spans="2:6">
      <c r="B22" t="s">
        <v>46</v>
      </c>
      <c r="C22" s="281">
        <v>24161.504117613244</v>
      </c>
      <c r="D22" s="281">
        <v>3241.7505011689836</v>
      </c>
      <c r="E22" s="281">
        <f t="shared" si="0"/>
        <v>20919.753616444261</v>
      </c>
      <c r="F22" s="446">
        <f t="shared" si="1"/>
        <v>0.13417006182184715</v>
      </c>
    </row>
    <row r="23" spans="2:6">
      <c r="B23" t="s">
        <v>47</v>
      </c>
      <c r="C23" s="281">
        <v>16109.394776770958</v>
      </c>
      <c r="D23" s="281">
        <v>3520.98199297055</v>
      </c>
      <c r="E23" s="281">
        <f t="shared" si="0"/>
        <v>12588.412783800408</v>
      </c>
      <c r="F23" s="446">
        <f t="shared" si="1"/>
        <v>0.21856699409015987</v>
      </c>
    </row>
    <row r="24" spans="2:6">
      <c r="B24" t="s">
        <v>48</v>
      </c>
      <c r="C24" s="281">
        <v>20863.43452761291</v>
      </c>
      <c r="D24" s="281">
        <v>2744.5010198010791</v>
      </c>
      <c r="E24" s="281">
        <f t="shared" si="0"/>
        <v>18118.933507811831</v>
      </c>
      <c r="F24" s="446">
        <f t="shared" si="1"/>
        <v>0.13154598377216903</v>
      </c>
    </row>
    <row r="25" spans="2:6">
      <c r="B25" t="s">
        <v>49</v>
      </c>
      <c r="C25" s="281">
        <v>10728.944296156153</v>
      </c>
      <c r="D25" s="281">
        <v>769.68785079618101</v>
      </c>
      <c r="E25" s="281">
        <f t="shared" si="0"/>
        <v>9959.2564453599716</v>
      </c>
      <c r="F25" s="446">
        <f t="shared" si="1"/>
        <v>7.1739383629005907E-2</v>
      </c>
    </row>
    <row r="26" spans="2:6">
      <c r="B26" t="s">
        <v>50</v>
      </c>
      <c r="C26" s="281">
        <v>4622.8938671554606</v>
      </c>
      <c r="D26" s="281">
        <v>1516.0332473630592</v>
      </c>
      <c r="E26" s="281">
        <f t="shared" si="0"/>
        <v>3106.8606197924014</v>
      </c>
      <c r="F26" s="446">
        <f t="shared" si="1"/>
        <v>0.32794030988556921</v>
      </c>
    </row>
    <row r="27" spans="2:6">
      <c r="B27" t="s">
        <v>51</v>
      </c>
      <c r="C27" s="281">
        <v>6862.6245863450149</v>
      </c>
      <c r="D27" s="281">
        <v>2155.365385904865</v>
      </c>
      <c r="E27" s="281">
        <f t="shared" si="0"/>
        <v>4707.2592004401504</v>
      </c>
      <c r="F27" s="446">
        <f t="shared" si="1"/>
        <v>0.31407304286956444</v>
      </c>
    </row>
    <row r="28" spans="2:6">
      <c r="B28" t="s">
        <v>52</v>
      </c>
      <c r="C28" s="281">
        <v>9583.9642358217861</v>
      </c>
      <c r="D28" s="281">
        <v>4673.006008384491</v>
      </c>
      <c r="E28" s="281">
        <f t="shared" si="0"/>
        <v>4910.9582274372951</v>
      </c>
      <c r="F28" s="446">
        <f t="shared" si="1"/>
        <v>0.48758591887460229</v>
      </c>
    </row>
    <row r="29" spans="2:6">
      <c r="B29" t="s">
        <v>53</v>
      </c>
      <c r="C29" s="281">
        <v>846.25009424148516</v>
      </c>
      <c r="D29" s="281">
        <v>174.13069278487808</v>
      </c>
      <c r="E29" s="281">
        <f t="shared" si="0"/>
        <v>672.11940145660708</v>
      </c>
      <c r="F29" s="446">
        <f t="shared" si="1"/>
        <v>0.2057674131675645</v>
      </c>
    </row>
    <row r="30" spans="2:6">
      <c r="B30" t="s">
        <v>54</v>
      </c>
      <c r="C30" s="281">
        <v>42421.333075981413</v>
      </c>
      <c r="D30" s="281">
        <v>15443.361093442596</v>
      </c>
      <c r="E30" s="281">
        <f t="shared" si="0"/>
        <v>26977.971982538817</v>
      </c>
      <c r="F30" s="446">
        <f t="shared" si="1"/>
        <v>0.36404704835139873</v>
      </c>
    </row>
    <row r="31" spans="2:6">
      <c r="B31" t="s">
        <v>55</v>
      </c>
      <c r="C31" s="281">
        <v>8897.9259366197493</v>
      </c>
      <c r="D31" s="281">
        <v>3924.2927024859664</v>
      </c>
      <c r="E31" s="281">
        <f t="shared" si="0"/>
        <v>4973.6332341337829</v>
      </c>
      <c r="F31" s="446">
        <f t="shared" si="1"/>
        <v>0.44103454337997938</v>
      </c>
    </row>
    <row r="32" spans="2:6">
      <c r="B32" t="s">
        <v>56</v>
      </c>
      <c r="C32" s="281">
        <v>7079.282340262338</v>
      </c>
      <c r="D32" s="281">
        <v>756.5951898084727</v>
      </c>
      <c r="E32" s="281">
        <f t="shared" si="0"/>
        <v>6322.6871504538649</v>
      </c>
      <c r="F32" s="446">
        <f t="shared" si="1"/>
        <v>0.10687456064655777</v>
      </c>
    </row>
    <row r="33" spans="2:6">
      <c r="B33" t="s">
        <v>58</v>
      </c>
      <c r="C33" s="281">
        <v>3579.1027530371884</v>
      </c>
      <c r="D33" s="281">
        <v>662.99108941187762</v>
      </c>
      <c r="E33" s="281">
        <f t="shared" si="0"/>
        <v>2916.1116636253109</v>
      </c>
      <c r="F33" s="446">
        <f t="shared" si="1"/>
        <v>0.18523946786642839</v>
      </c>
    </row>
    <row r="34" spans="2:6">
      <c r="B34" t="s">
        <v>59</v>
      </c>
      <c r="C34" s="281">
        <v>24760.23438624954</v>
      </c>
      <c r="D34" s="281">
        <v>13859.378737118417</v>
      </c>
      <c r="E34" s="281">
        <f t="shared" si="0"/>
        <v>10900.855649131123</v>
      </c>
      <c r="F34" s="446">
        <f t="shared" si="1"/>
        <v>0.55974343864915699</v>
      </c>
    </row>
    <row r="35" spans="2:6">
      <c r="B35" t="s">
        <v>61</v>
      </c>
      <c r="C35" s="281">
        <v>53443.379594561186</v>
      </c>
      <c r="D35" s="281">
        <v>41282.987907301591</v>
      </c>
      <c r="E35" s="281">
        <f t="shared" si="0"/>
        <v>12160.391687259595</v>
      </c>
      <c r="F35" s="446">
        <f t="shared" si="1"/>
        <v>0.77246215004529517</v>
      </c>
    </row>
    <row r="36" spans="2:6">
      <c r="B36" s="468" t="s">
        <v>62</v>
      </c>
      <c r="C36" s="473">
        <v>90998.186877225802</v>
      </c>
      <c r="D36" s="473">
        <v>70292.655085405408</v>
      </c>
      <c r="E36" s="473">
        <f t="shared" si="0"/>
        <v>20705.531791820395</v>
      </c>
      <c r="F36" s="474">
        <f t="shared" si="1"/>
        <v>0.77246215004529517</v>
      </c>
    </row>
    <row r="37" spans="2:6">
      <c r="B37" s="464" t="s">
        <v>1</v>
      </c>
      <c r="C37" s="475">
        <f>SUM(C7:C36)</f>
        <v>866589.25259397412</v>
      </c>
      <c r="D37" s="475">
        <f>SUM(D7:D36)</f>
        <v>529332.10605955648</v>
      </c>
      <c r="E37" s="475">
        <f t="shared" si="0"/>
        <v>337257.14653441764</v>
      </c>
      <c r="F37" s="476">
        <f t="shared" si="1"/>
        <v>0.6108223757392548</v>
      </c>
    </row>
  </sheetData>
  <sheetProtection password="82A0" sheet="1" objects="1" scenarios="1"/>
  <mergeCells count="1">
    <mergeCell ref="C5:F5"/>
  </mergeCells>
  <conditionalFormatting sqref="B1 B3:B1048576">
    <cfRule type="cellIs" dxfId="38" priority="9" operator="equal">
      <formula>"  "</formula>
    </cfRule>
  </conditionalFormatting>
  <conditionalFormatting sqref="B2">
    <cfRule type="cellIs" dxfId="37" priority="1" operator="equal">
      <formula>"  "</formula>
    </cfRule>
  </conditionalFormatting>
  <hyperlinks>
    <hyperlink ref="B3" r:id="rId1"/>
  </hyperlinks>
  <pageMargins left="0.7" right="0.7" top="0.75" bottom="0.75" header="0.3" footer="0.3"/>
  <pageSetup scale="53" fitToHeight="0" orientation="landscape" r:id="rId2"/>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B1:J53"/>
  <sheetViews>
    <sheetView showGridLines="0" zoomScale="90" zoomScaleNormal="90" zoomScaleSheetLayoutView="85" workbookViewId="0">
      <selection activeCell="B48" sqref="B48:B50"/>
    </sheetView>
  </sheetViews>
  <sheetFormatPr baseColWidth="10" defaultColWidth="9.140625" defaultRowHeight="14.25"/>
  <cols>
    <col min="1" max="1" width="2.28515625" style="146" customWidth="1"/>
    <col min="2" max="2" width="53.7109375" style="146" customWidth="1"/>
    <col min="3" max="3" width="29.42578125" style="146" customWidth="1"/>
    <col min="4" max="4" width="24.140625" style="146" customWidth="1"/>
    <col min="5" max="5" width="20.85546875" style="146" customWidth="1"/>
    <col min="6" max="6" width="17.42578125" style="146" customWidth="1"/>
    <col min="7" max="7" width="24.140625" style="146" bestFit="1" customWidth="1"/>
    <col min="8" max="8" width="29" style="146" customWidth="1"/>
    <col min="9" max="9" width="19" style="146" bestFit="1" customWidth="1"/>
    <col min="10" max="10" width="18" style="146" bestFit="1" customWidth="1"/>
    <col min="11" max="16384" width="9.140625" style="146"/>
  </cols>
  <sheetData>
    <row r="1" spans="2:8" ht="6" customHeight="1"/>
    <row r="2" spans="2:8" s="37" customFormat="1" ht="15.75" thickBot="1">
      <c r="B2" s="4" t="s">
        <v>112</v>
      </c>
      <c r="C2" s="36"/>
      <c r="D2" s="36"/>
      <c r="E2" s="36"/>
      <c r="F2" s="36"/>
      <c r="G2" s="36"/>
      <c r="H2" s="36"/>
    </row>
    <row r="3" spans="2:8" ht="15" thickBot="1"/>
    <row r="4" spans="2:8" ht="15.75">
      <c r="B4" s="275" t="s">
        <v>113</v>
      </c>
      <c r="C4" s="376"/>
    </row>
    <row r="5" spans="2:8">
      <c r="B5" s="278" t="s">
        <v>113</v>
      </c>
      <c r="C5" s="377"/>
    </row>
    <row r="6" spans="2:8">
      <c r="B6" s="375" t="s">
        <v>73</v>
      </c>
      <c r="C6" s="436">
        <f>CoûtsNetsDéclarés</f>
        <v>153816915.38999996</v>
      </c>
    </row>
    <row r="7" spans="2:8">
      <c r="B7" s="273" t="s">
        <v>74</v>
      </c>
      <c r="C7" s="379">
        <f>PourcMatOrphelines</f>
        <v>-6.6000000000000003E-2</v>
      </c>
    </row>
    <row r="8" spans="2:8">
      <c r="B8" s="375" t="s">
        <v>114</v>
      </c>
      <c r="C8" s="436">
        <f>CoûtsNetsDéclarés * (1 + PourcMatOrphelines)</f>
        <v>143664998.97425994</v>
      </c>
    </row>
    <row r="9" spans="2:8">
      <c r="B9" s="273" t="s">
        <v>115</v>
      </c>
      <c r="C9" s="379">
        <f>PourcPE</f>
        <v>-4.7852239677565946E-2</v>
      </c>
    </row>
    <row r="10" spans="2:8">
      <c r="B10" s="375" t="s">
        <v>116</v>
      </c>
      <c r="C10" s="436">
        <f>ROUND(CoûtsNetsAprèsMatOrph * (1 + PourcPE),2)</f>
        <v>136790307.00999999</v>
      </c>
    </row>
    <row r="11" spans="2:8">
      <c r="B11" s="375" t="s">
        <v>117</v>
      </c>
      <c r="C11" s="436">
        <v>8007.8225352460231</v>
      </c>
      <c r="D11" s="488"/>
    </row>
    <row r="12" spans="2:8">
      <c r="B12" s="273" t="s">
        <v>76</v>
      </c>
      <c r="C12" s="380">
        <f>FraisMun</f>
        <v>8.5500000000000007E-2</v>
      </c>
    </row>
    <row r="13" spans="2:8">
      <c r="B13" s="274" t="s">
        <v>76</v>
      </c>
      <c r="C13" s="437">
        <f>C12*(C10+C11)</f>
        <v>11696255.918181764</v>
      </c>
    </row>
    <row r="14" spans="2:8" ht="15">
      <c r="B14" s="381" t="s">
        <v>118</v>
      </c>
      <c r="C14" s="438">
        <f>C10+C13+C11</f>
        <v>148494570.75071701</v>
      </c>
    </row>
    <row r="15" spans="2:8">
      <c r="B15" s="273" t="s">
        <v>77</v>
      </c>
      <c r="C15" s="382">
        <f>PartIndustrie</f>
        <v>1</v>
      </c>
    </row>
    <row r="16" spans="2:8" ht="15.75" customHeight="1">
      <c r="B16" s="383" t="s">
        <v>119</v>
      </c>
      <c r="C16" s="439">
        <f>C15*C14</f>
        <v>148494570.75071701</v>
      </c>
    </row>
    <row r="17" spans="2:6">
      <c r="B17" s="273" t="s">
        <v>78</v>
      </c>
      <c r="C17" s="384">
        <f>PartEEQ</f>
        <v>0.91300000000000003</v>
      </c>
    </row>
    <row r="18" spans="2:6">
      <c r="B18" s="273" t="s">
        <v>120</v>
      </c>
      <c r="C18" s="486">
        <v>-9976.5199497566828</v>
      </c>
      <c r="D18" s="488"/>
    </row>
    <row r="19" spans="2:6" ht="15.75" thickBot="1">
      <c r="B19" s="385" t="s">
        <v>121</v>
      </c>
      <c r="C19" s="440">
        <f>C17*CoûtsAssumésIndustrie + C18</f>
        <v>135565566.57545486</v>
      </c>
    </row>
    <row r="20" spans="2:6" ht="15" thickBot="1">
      <c r="B20" s="35"/>
      <c r="C20" s="35"/>
    </row>
    <row r="21" spans="2:6" ht="15.75">
      <c r="B21" s="275" t="s">
        <v>122</v>
      </c>
      <c r="C21" s="376"/>
    </row>
    <row r="22" spans="2:6">
      <c r="B22" s="276" t="s">
        <v>123</v>
      </c>
      <c r="C22" s="386"/>
    </row>
    <row r="23" spans="2:6">
      <c r="B23" s="272" t="s">
        <v>124</v>
      </c>
      <c r="C23" s="441">
        <f>MIN(3000000, IndemnitéRQ * (CompensationMaxRM  + CoûtsAssumésEEQ))</f>
        <v>2863311.3315090975</v>
      </c>
      <c r="D23" s="360"/>
      <c r="F23" s="405"/>
    </row>
    <row r="24" spans="2:6">
      <c r="B24" s="273" t="s">
        <v>78</v>
      </c>
      <c r="C24" s="384">
        <f>PartEEQ</f>
        <v>0.91300000000000003</v>
      </c>
    </row>
    <row r="25" spans="2:6" ht="15">
      <c r="B25" s="277" t="s">
        <v>125</v>
      </c>
      <c r="C25" s="439">
        <f>C23*C24</f>
        <v>2614203.2456678059</v>
      </c>
    </row>
    <row r="26" spans="2:6">
      <c r="B26" s="278" t="s">
        <v>126</v>
      </c>
      <c r="C26" s="377"/>
    </row>
    <row r="27" spans="2:6">
      <c r="B27" s="279" t="s">
        <v>81</v>
      </c>
      <c r="C27" s="436">
        <f>FraisAdminÉEQ</f>
        <v>3260542</v>
      </c>
    </row>
    <row r="28" spans="2:6">
      <c r="B28" s="279" t="s">
        <v>82</v>
      </c>
      <c r="C28" s="436">
        <f>FraisRDÉEQ</f>
        <v>2724458</v>
      </c>
    </row>
    <row r="29" spans="2:6" ht="15">
      <c r="B29" s="277" t="s">
        <v>127</v>
      </c>
      <c r="C29" s="439">
        <f>SUM(C27:C28)</f>
        <v>5985000</v>
      </c>
    </row>
    <row r="30" spans="2:6" ht="15.75" thickBot="1">
      <c r="B30" s="416" t="s">
        <v>128</v>
      </c>
      <c r="C30" s="440">
        <f>C25+C29</f>
        <v>8599203.2456678059</v>
      </c>
    </row>
    <row r="31" spans="2:6" ht="15" thickBot="1"/>
    <row r="32" spans="2:6" ht="15.75">
      <c r="B32" s="275" t="s">
        <v>129</v>
      </c>
      <c r="C32" s="376"/>
    </row>
    <row r="33" spans="2:10">
      <c r="B33" s="387" t="s">
        <v>130</v>
      </c>
      <c r="C33" s="388">
        <f>ProvCréances</f>
        <v>0.02</v>
      </c>
    </row>
    <row r="34" spans="2:10">
      <c r="B34" s="279" t="s">
        <v>131</v>
      </c>
      <c r="C34" s="436">
        <f>C33 * (FraisGestionImputés + CoûtsAssumésEEQ)</f>
        <v>2883295.3964224537</v>
      </c>
    </row>
    <row r="35" spans="2:10">
      <c r="B35" s="389" t="s">
        <v>96</v>
      </c>
      <c r="C35" s="437">
        <f>MAX(CoûtsAssumésEEQ * FondsRisquePourcCible -FondsRisqueActuel,0)</f>
        <v>0</v>
      </c>
    </row>
    <row r="36" spans="2:10" ht="15.75" thickBot="1">
      <c r="B36" s="390" t="s">
        <v>129</v>
      </c>
      <c r="C36" s="442">
        <f>SUM(C34:C35)</f>
        <v>2883295.3964224537</v>
      </c>
    </row>
    <row r="37" spans="2:10" ht="15.75" thickBot="1">
      <c r="B37" s="406"/>
      <c r="C37" s="407"/>
    </row>
    <row r="38" spans="2:10" ht="15">
      <c r="B38" s="419" t="s">
        <v>99</v>
      </c>
      <c r="C38" s="420"/>
    </row>
    <row r="39" spans="2:10">
      <c r="B39" s="409" t="s">
        <v>100</v>
      </c>
      <c r="C39" s="609">
        <f>FondsRetraitConjoint</f>
        <v>-3800000</v>
      </c>
    </row>
    <row r="40" spans="2:10">
      <c r="B40" s="375" t="s">
        <v>28</v>
      </c>
      <c r="C40" s="378">
        <f>FondsRetraitImprimé</f>
        <v>0</v>
      </c>
    </row>
    <row r="41" spans="2:10" ht="15" thickBot="1">
      <c r="B41" s="410" t="s">
        <v>92</v>
      </c>
      <c r="C41" s="434">
        <f>FondsRetraitCE</f>
        <v>0</v>
      </c>
      <c r="D41" s="417"/>
    </row>
    <row r="42" spans="2:10" ht="15" thickBot="1">
      <c r="B42" s="37"/>
      <c r="C42" s="477"/>
      <c r="D42" s="417"/>
    </row>
    <row r="43" spans="2:10" ht="15.75" thickBot="1">
      <c r="B43" s="484" t="s">
        <v>84</v>
      </c>
      <c r="C43" s="485">
        <f>AnticipationTarifFixe</f>
        <v>-1100000</v>
      </c>
      <c r="D43" s="417"/>
    </row>
    <row r="44" spans="2:10" ht="15">
      <c r="B44" s="406"/>
      <c r="C44" s="407"/>
      <c r="D44" s="407"/>
    </row>
    <row r="45" spans="2:10" ht="15" thickBot="1">
      <c r="B45" s="35"/>
      <c r="C45" s="35"/>
      <c r="D45" s="35"/>
    </row>
    <row r="46" spans="2:10" ht="15.75">
      <c r="B46" s="654" t="s">
        <v>132</v>
      </c>
      <c r="C46" s="655"/>
      <c r="D46" s="655"/>
      <c r="E46" s="655"/>
      <c r="F46" s="655"/>
      <c r="G46" s="655"/>
      <c r="H46" s="656"/>
    </row>
    <row r="47" spans="2:10" ht="57">
      <c r="B47" s="391" t="s">
        <v>133</v>
      </c>
      <c r="C47" s="267" t="s">
        <v>134</v>
      </c>
      <c r="D47" s="267" t="s">
        <v>135</v>
      </c>
      <c r="E47" s="267" t="s">
        <v>136</v>
      </c>
      <c r="F47" s="267" t="s">
        <v>137</v>
      </c>
      <c r="G47" s="267" t="s">
        <v>138</v>
      </c>
      <c r="H47" s="396" t="s">
        <v>139</v>
      </c>
    </row>
    <row r="48" spans="2:10">
      <c r="B48" s="272" t="s">
        <v>28</v>
      </c>
      <c r="C48" s="408">
        <f>PartCoutImprimés</f>
        <v>0.19400000000000001</v>
      </c>
      <c r="D48" s="408">
        <f>$C48 / ($C$48 + $C$49)</f>
        <v>0.21248630887185105</v>
      </c>
      <c r="E48" s="397">
        <f>PartImprimésRelative * CoûtsAssumésEEQ</f>
        <v>28805826.851739589</v>
      </c>
      <c r="F48" s="397">
        <f>C40 + $C$39 * D48</f>
        <v>-807447.97371303395</v>
      </c>
      <c r="G48" s="393">
        <f>E48 + F48 + (FraisProvisionEtRisque + $C$43) * $D48</f>
        <v>28377304.734440528</v>
      </c>
      <c r="H48" s="418">
        <f>$G48 + FraisGestionImputés * SUMIF(tblMatières[Class],$B48,tblMatières[Nb reportings]) / SUM(tblMatières[Nb reportings])</f>
        <v>29815529.012884717</v>
      </c>
      <c r="I48" s="421"/>
      <c r="J48" s="422"/>
    </row>
    <row r="49" spans="2:10" ht="15" thickBot="1">
      <c r="B49" s="506" t="s">
        <v>92</v>
      </c>
      <c r="C49" s="507">
        <f>PartCoutContenants</f>
        <v>0.71899999999999997</v>
      </c>
      <c r="D49" s="507">
        <f>$C49 / ($C$48 + $C$49)</f>
        <v>0.78751369112814895</v>
      </c>
      <c r="E49" s="508">
        <f>PartCERelative*CoûtsAssumésEEQ</f>
        <v>106759739.72371528</v>
      </c>
      <c r="F49" s="508">
        <f>C41 + $C$39 * D49</f>
        <v>-2992552.0262869662</v>
      </c>
      <c r="G49" s="509">
        <f>E49 + F49 + (FraisProvisionEtRisque + $C$43) * $D49</f>
        <v>105171557.2374368</v>
      </c>
      <c r="H49" s="510">
        <f>$G49 + FraisGestionImputés * SUMIF(tblMatières[Class],$B49,tblMatières[Nb reportings]) / SUM(tblMatières[Nb reportings])</f>
        <v>112332536.20466042</v>
      </c>
      <c r="I49" s="421"/>
      <c r="J49" s="422"/>
    </row>
    <row r="50" spans="2:10" ht="16.5" thickTop="1" thickBot="1">
      <c r="B50" s="502" t="s">
        <v>140</v>
      </c>
      <c r="C50" s="503">
        <f t="shared" ref="C50:H50" si="0">SUM(C48:C49)</f>
        <v>0.91300000000000003</v>
      </c>
      <c r="D50" s="503">
        <f t="shared" si="0"/>
        <v>1</v>
      </c>
      <c r="E50" s="504">
        <f t="shared" si="0"/>
        <v>135565566.57545486</v>
      </c>
      <c r="F50" s="504">
        <f t="shared" si="0"/>
        <v>-3800000</v>
      </c>
      <c r="G50" s="504">
        <f t="shared" si="0"/>
        <v>133548861.97187734</v>
      </c>
      <c r="H50" s="505">
        <f t="shared" si="0"/>
        <v>142148065.21754512</v>
      </c>
    </row>
    <row r="51" spans="2:10">
      <c r="G51" s="423"/>
    </row>
    <row r="52" spans="2:10">
      <c r="H52" s="423"/>
    </row>
    <row r="53" spans="2:10">
      <c r="H53" s="398"/>
    </row>
  </sheetData>
  <sheetProtection password="82A0" sheet="1" objects="1" scenarios="1"/>
  <mergeCells count="1">
    <mergeCell ref="B46:H46"/>
  </mergeCells>
  <pageMargins left="0.7" right="0.7" top="0.75" bottom="0.75" header="0.3" footer="0.3"/>
  <pageSetup scale="56" fitToHeight="0" orientation="landscape" r:id="rId1"/>
  <ignoredErrors>
    <ignoredError sqref="C17" formula="1"/>
  </ignoredError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4" tint="0.39997558519241921"/>
    <pageSetUpPr fitToPage="1"/>
  </sheetPr>
  <dimension ref="B1:R89"/>
  <sheetViews>
    <sheetView showGridLines="0" zoomScale="90" zoomScaleNormal="90" zoomScaleSheetLayoutView="80" workbookViewId="0">
      <pane xSplit="4" ySplit="1" topLeftCell="E2" activePane="bottomRight" state="frozen"/>
      <selection pane="topRight" activeCell="E1" sqref="E1"/>
      <selection pane="bottomLeft" activeCell="A2" sqref="A2"/>
      <selection pane="bottomRight" activeCell="B4" sqref="B4:R4"/>
    </sheetView>
  </sheetViews>
  <sheetFormatPr baseColWidth="10" defaultRowHeight="15"/>
  <cols>
    <col min="1" max="1" width="2.85546875" customWidth="1"/>
    <col min="2" max="2" width="17.140625" style="1" customWidth="1"/>
    <col min="3" max="3" width="13.140625" customWidth="1"/>
    <col min="4" max="4" width="54" customWidth="1"/>
    <col min="5" max="5" width="11" customWidth="1"/>
    <col min="6" max="6" width="15" customWidth="1"/>
    <col min="7" max="7" width="17.140625" customWidth="1"/>
    <col min="8" max="8" width="16.85546875" customWidth="1"/>
    <col min="9" max="9" width="18.5703125" customWidth="1"/>
    <col min="10" max="10" width="23.28515625" customWidth="1"/>
    <col min="11" max="11" width="12.42578125" customWidth="1"/>
    <col min="12" max="12" width="14.7109375" customWidth="1"/>
    <col min="13" max="13" width="10.5703125" customWidth="1"/>
    <col min="14" max="14" width="14.7109375" customWidth="1"/>
    <col min="15" max="15" width="14.28515625" customWidth="1"/>
    <col min="16" max="16" width="16.7109375" bestFit="1" customWidth="1"/>
    <col min="17" max="17" width="17.28515625" customWidth="1"/>
    <col min="18" max="18" width="13.28515625" customWidth="1"/>
    <col min="19" max="19" width="14" customWidth="1"/>
    <col min="20" max="20" width="13.7109375" bestFit="1" customWidth="1"/>
    <col min="21" max="21" width="13" customWidth="1"/>
    <col min="22" max="22" width="10.42578125" customWidth="1"/>
    <col min="23" max="23" width="13.28515625" bestFit="1" customWidth="1"/>
    <col min="24" max="24" width="18.42578125" bestFit="1" customWidth="1"/>
    <col min="25" max="25" width="14.7109375" customWidth="1"/>
    <col min="26" max="26" width="13.85546875" customWidth="1"/>
    <col min="27" max="27" width="18.28515625" customWidth="1"/>
  </cols>
  <sheetData>
    <row r="1" spans="2:18" ht="9" customHeight="1"/>
    <row r="3" spans="2:18" ht="7.5" customHeight="1">
      <c r="E3" s="352"/>
    </row>
    <row r="4" spans="2:18" ht="47.25" customHeight="1">
      <c r="B4" s="445" t="s">
        <v>133</v>
      </c>
      <c r="C4" s="445" t="s">
        <v>141</v>
      </c>
      <c r="D4" s="445" t="s">
        <v>64</v>
      </c>
      <c r="E4" s="445" t="s">
        <v>142</v>
      </c>
      <c r="F4" s="445" t="s">
        <v>143</v>
      </c>
      <c r="G4" s="445" t="s">
        <v>144</v>
      </c>
      <c r="H4" s="445" t="s">
        <v>145</v>
      </c>
      <c r="I4" s="445" t="s">
        <v>146</v>
      </c>
      <c r="J4" s="445" t="s">
        <v>147</v>
      </c>
      <c r="K4" s="445" t="s">
        <v>148</v>
      </c>
      <c r="L4" s="445" t="s">
        <v>149</v>
      </c>
      <c r="M4" s="445" t="s">
        <v>150</v>
      </c>
      <c r="N4" s="445" t="s">
        <v>151</v>
      </c>
      <c r="O4" s="445" t="s">
        <v>152</v>
      </c>
      <c r="P4" s="445" t="s">
        <v>153</v>
      </c>
      <c r="Q4" s="573" t="s">
        <v>154</v>
      </c>
      <c r="R4" s="573" t="s">
        <v>155</v>
      </c>
    </row>
    <row r="5" spans="2:18">
      <c r="B5" s="37" t="s">
        <v>27</v>
      </c>
      <c r="C5" s="37" t="s">
        <v>28</v>
      </c>
      <c r="D5" s="37" t="s">
        <v>29</v>
      </c>
      <c r="E5" s="37">
        <v>1</v>
      </c>
      <c r="F5" s="287">
        <f>INDEX(rgDéclaration_NbDécl,MATCH(tblMatières[[#This Row],[Material]],rgDéclaration_Matières,0))</f>
        <v>129</v>
      </c>
      <c r="G5" s="286">
        <f>INT(INDEX(rgDéclaration_QtéFinale,MATCH(tblMatières[[#This Row],[Material]],rgDéclaration_Matières,0)))</f>
        <v>100503348</v>
      </c>
      <c r="H5" s="286">
        <f>tblMatières[[#This Row],[Reported quantity net (kg)]]/1000</f>
        <v>100503.348</v>
      </c>
      <c r="I5" s="286">
        <f>tblMatières[[#This Row],[Reported quantity (tonnes)]]</f>
        <v>100503.348</v>
      </c>
      <c r="J5" s="286">
        <f>tblMatières[[#This Row],[Generated quantity  
(tonnes)]]*tblMatières[[#This Row],[% recovery]]</f>
        <v>85864.816326250861</v>
      </c>
      <c r="K5" s="286">
        <f>tblMatières[[#This Row],[Generated quantity  
(tonnes)]]-tblMatières[[#This Row],[Recovered quantity  (tonnes)]]</f>
        <v>14638.531673749138</v>
      </c>
      <c r="L5" s="450">
        <f>INDEX(Characterization!$F$7:$F$36,MATCH(tblMatières[[#This Row],[Material]],Characterization!$B$7:$B$36,0))</f>
        <v>0.85434782059450265</v>
      </c>
      <c r="M5" s="487">
        <f>INDEX(Parameters!$C$48:$C$77,MATCH(tblMatières[[#This Row],[Material]],Parameters!$B$48:$B$77,0))</f>
        <v>169.72788477579965</v>
      </c>
      <c r="N5" s="487">
        <f>INDEX(Parameters!$D$48:$D$77,MATCH(tblMatières[[#This Row],[Material]],Parameters!$B$48:$B$77,0))</f>
        <v>75.332065206007883</v>
      </c>
      <c r="O5" s="289">
        <f>tblMatières[[#This Row],[Gross cost]]-tblMatières[[#This Row],[Gross revenue]]</f>
        <v>94.395819569791769</v>
      </c>
      <c r="P5" s="340">
        <f>INDEX(Parameters!$E$48:$E$77,MATCH(tblMatières[[#This Row],[Material]],Parameters!$B$48:$B$77,0))</f>
        <v>0</v>
      </c>
      <c r="Q5" s="585">
        <v>96111.831999999995</v>
      </c>
      <c r="R5" s="454">
        <v>151.00551908644385</v>
      </c>
    </row>
    <row r="6" spans="2:18">
      <c r="B6" s="37" t="s">
        <v>27</v>
      </c>
      <c r="C6" s="37" t="s">
        <v>28</v>
      </c>
      <c r="D6" s="37" t="s">
        <v>30</v>
      </c>
      <c r="E6" s="37">
        <v>2</v>
      </c>
      <c r="F6" s="287">
        <f>INDEX(rgDéclaration_NbDécl,MATCH(tblMatières[[#This Row],[Material]],rgDéclaration_Matières,0))</f>
        <v>174</v>
      </c>
      <c r="G6" s="286">
        <f>INT(INDEX(rgDéclaration_QtéFinale,MATCH(tblMatières[[#This Row],[Material]],rgDéclaration_Matières,0)))</f>
        <v>16909731</v>
      </c>
      <c r="H6" s="286">
        <f>tblMatières[[#This Row],[Reported quantity net (kg)]]/1000</f>
        <v>16909.731</v>
      </c>
      <c r="I6" s="286">
        <f>tblMatières[[#This Row],[Reported quantity (tonnes)]]</f>
        <v>16909.731</v>
      </c>
      <c r="J6" s="286">
        <f>tblMatières[[#This Row],[Generated quantity  
(tonnes)]]*tblMatières[[#This Row],[% recovery]]</f>
        <v>13561.464056479286</v>
      </c>
      <c r="K6" s="286">
        <f>tblMatières[[#This Row],[Generated quantity  
(tonnes)]]-tblMatières[[#This Row],[Recovered quantity  (tonnes)]]</f>
        <v>3348.2669435207135</v>
      </c>
      <c r="L6" s="450">
        <f>INDEX(Characterization!$F$7:$F$36,MATCH(tblMatières[[#This Row],[Material]],Characterization!$B$7:$B$36,0))</f>
        <v>0.80199170858952673</v>
      </c>
      <c r="M6" s="487">
        <f>INDEX(Parameters!$C$48:$C$77,MATCH(tblMatières[[#This Row],[Material]],Parameters!$B$48:$B$77,0))</f>
        <v>166.39290013808409</v>
      </c>
      <c r="N6" s="487">
        <f>INDEX(Parameters!$D$48:$D$77,MATCH(tblMatières[[#This Row],[Material]],Parameters!$B$48:$B$77,0))</f>
        <v>73.153008582348562</v>
      </c>
      <c r="O6" s="289">
        <f>tblMatières[[#This Row],[Gross cost]]-tblMatières[[#This Row],[Gross revenue]]</f>
        <v>93.239891555735525</v>
      </c>
      <c r="P6" s="340">
        <f>INDEX(Parameters!$E$48:$E$77,MATCH(tblMatières[[#This Row],[Material]],Parameters!$B$48:$B$77,0))</f>
        <v>0</v>
      </c>
      <c r="Q6" s="585">
        <v>17711.88</v>
      </c>
      <c r="R6" s="454">
        <v>225.34444049370481</v>
      </c>
    </row>
    <row r="7" spans="2:18">
      <c r="B7" s="37" t="s">
        <v>27</v>
      </c>
      <c r="C7" s="37" t="s">
        <v>28</v>
      </c>
      <c r="D7" s="37" t="s">
        <v>0</v>
      </c>
      <c r="E7" s="37">
        <v>3</v>
      </c>
      <c r="F7" s="287">
        <f>INDEX(rgDéclaration_NbDécl,MATCH(tblMatières[[#This Row],[Material]],rgDéclaration_Matières,0))</f>
        <v>47</v>
      </c>
      <c r="G7" s="286">
        <f>INT(INDEX(rgDéclaration_QtéFinale,MATCH(tblMatières[[#This Row],[Material]],rgDéclaration_Matières,0)))</f>
        <v>10816571</v>
      </c>
      <c r="H7" s="286">
        <f>tblMatières[[#This Row],[Reported quantity net (kg)]]/1000</f>
        <v>10816.571</v>
      </c>
      <c r="I7" s="286">
        <f>tblMatières[[#This Row],[Reported quantity (tonnes)]]</f>
        <v>10816.571</v>
      </c>
      <c r="J7" s="286">
        <f>tblMatières[[#This Row],[Generated quantity  
(tonnes)]]*tblMatières[[#This Row],[% recovery]]</f>
        <v>9110.2160408458858</v>
      </c>
      <c r="K7" s="286">
        <f>tblMatières[[#This Row],[Generated quantity  
(tonnes)]]-tblMatières[[#This Row],[Recovered quantity  (tonnes)]]</f>
        <v>1706.3549591541141</v>
      </c>
      <c r="L7" s="450">
        <f>INDEX(Characterization!$F$7:$F$36,MATCH(tblMatières[[#This Row],[Material]],Characterization!$B$7:$B$36,0))</f>
        <v>0.84224622025278495</v>
      </c>
      <c r="M7" s="487">
        <f>INDEX(Parameters!$C$48:$C$77,MATCH(tblMatières[[#This Row],[Material]],Parameters!$B$48:$B$77,0))</f>
        <v>164.35730748701044</v>
      </c>
      <c r="N7" s="487">
        <f>INDEX(Parameters!$D$48:$D$77,MATCH(tblMatières[[#This Row],[Material]],Parameters!$B$48:$B$77,0))</f>
        <v>73.567588697758424</v>
      </c>
      <c r="O7" s="289">
        <f>tblMatières[[#This Row],[Gross cost]]-tblMatières[[#This Row],[Gross revenue]]</f>
        <v>90.789718789252021</v>
      </c>
      <c r="P7" s="340">
        <f>INDEX(Parameters!$E$48:$E$77,MATCH(tblMatières[[#This Row],[Material]],Parameters!$B$48:$B$77,0))</f>
        <v>0</v>
      </c>
      <c r="Q7" s="585">
        <v>15070.365</v>
      </c>
      <c r="R7" s="454">
        <v>225.34444049370481</v>
      </c>
    </row>
    <row r="8" spans="2:18">
      <c r="B8" s="37" t="s">
        <v>27</v>
      </c>
      <c r="C8" s="37" t="s">
        <v>28</v>
      </c>
      <c r="D8" s="37" t="s">
        <v>31</v>
      </c>
      <c r="E8" s="37">
        <v>4</v>
      </c>
      <c r="F8" s="287">
        <f>INDEX(rgDéclaration_NbDécl,MATCH(tblMatières[[#This Row],[Material]],rgDéclaration_Matières,0))</f>
        <v>2</v>
      </c>
      <c r="G8" s="286">
        <f>INT(INDEX(rgDéclaration_QtéFinale,MATCH(tblMatières[[#This Row],[Material]],rgDéclaration_Matières,0)))</f>
        <v>1956911</v>
      </c>
      <c r="H8" s="286">
        <f>tblMatières[[#This Row],[Reported quantity net (kg)]]/1000</f>
        <v>1956.9110000000001</v>
      </c>
      <c r="I8" s="286">
        <f>tblMatières[[#This Row],[Reported quantity (tonnes)]]</f>
        <v>1956.9110000000001</v>
      </c>
      <c r="J8" s="286">
        <f>tblMatières[[#This Row],[Generated quantity  
(tonnes)]]*tblMatières[[#This Row],[% recovery]]</f>
        <v>1761.6059678635033</v>
      </c>
      <c r="K8" s="286">
        <f>tblMatières[[#This Row],[Generated quantity  
(tonnes)]]-tblMatières[[#This Row],[Recovered quantity  (tonnes)]]</f>
        <v>195.30503213649672</v>
      </c>
      <c r="L8" s="450">
        <f>INDEX(Characterization!$F$7:$F$36,MATCH(tblMatières[[#This Row],[Material]],Characterization!$B$7:$B$36,0))</f>
        <v>0.90019728432386725</v>
      </c>
      <c r="M8" s="487">
        <f>INDEX(Parameters!$C$48:$C$77,MATCH(tblMatières[[#This Row],[Material]],Parameters!$B$48:$B$77,0))</f>
        <v>166.79364171278405</v>
      </c>
      <c r="N8" s="487">
        <f>INDEX(Parameters!$D$48:$D$77,MATCH(tblMatières[[#This Row],[Material]],Parameters!$B$48:$B$77,0))</f>
        <v>71.148817027272301</v>
      </c>
      <c r="O8" s="289">
        <f>tblMatières[[#This Row],[Gross cost]]-tblMatières[[#This Row],[Gross revenue]]</f>
        <v>95.64482468551175</v>
      </c>
      <c r="P8" s="340">
        <f>INDEX(Parameters!$E$48:$E$77,MATCH(tblMatières[[#This Row],[Material]],Parameters!$B$48:$B$77,0))</f>
        <v>0</v>
      </c>
      <c r="Q8" s="585">
        <v>5509.0780000000004</v>
      </c>
      <c r="R8" s="454">
        <v>225.34444049370481</v>
      </c>
    </row>
    <row r="9" spans="2:18">
      <c r="B9" s="37" t="s">
        <v>27</v>
      </c>
      <c r="C9" s="37" t="s">
        <v>28</v>
      </c>
      <c r="D9" s="37" t="s">
        <v>32</v>
      </c>
      <c r="E9" s="37">
        <v>5</v>
      </c>
      <c r="F9" s="287">
        <f>INDEX(rgDéclaration_NbDécl,MATCH(tblMatières[[#This Row],[Material]],rgDéclaration_Matières,0))</f>
        <v>107</v>
      </c>
      <c r="G9" s="286">
        <f>INT(INDEX(rgDéclaration_QtéFinale,MATCH(tblMatières[[#This Row],[Material]],rgDéclaration_Matières,0)))</f>
        <v>4514693</v>
      </c>
      <c r="H9" s="286">
        <f>tblMatières[[#This Row],[Reported quantity net (kg)]]/1000</f>
        <v>4514.6930000000002</v>
      </c>
      <c r="I9" s="286">
        <f>tblMatières[[#This Row],[Reported quantity (tonnes)]]</f>
        <v>4514.6930000000002</v>
      </c>
      <c r="J9" s="286">
        <f>tblMatières[[#This Row],[Generated quantity  
(tonnes)]]*tblMatières[[#This Row],[% recovery]]</f>
        <v>2990.2667386915787</v>
      </c>
      <c r="K9" s="286">
        <f>tblMatières[[#This Row],[Generated quantity  
(tonnes)]]-tblMatières[[#This Row],[Recovered quantity  (tonnes)]]</f>
        <v>1524.4262613084215</v>
      </c>
      <c r="L9" s="450">
        <f>INDEX(Characterization!$F$7:$F$36,MATCH(tblMatières[[#This Row],[Material]],Characterization!$B$7:$B$36,0))</f>
        <v>0.66234110241639432</v>
      </c>
      <c r="M9" s="487">
        <f>INDEX(Parameters!$C$48:$C$77,MATCH(tblMatières[[#This Row],[Material]],Parameters!$B$48:$B$77,0))</f>
        <v>167.56600211042783</v>
      </c>
      <c r="N9" s="487">
        <f>INDEX(Parameters!$D$48:$D$77,MATCH(tblMatières[[#This Row],[Material]],Parameters!$B$48:$B$77,0))</f>
        <v>71.029789977591292</v>
      </c>
      <c r="O9" s="289">
        <f>tblMatières[[#This Row],[Gross cost]]-tblMatières[[#This Row],[Gross revenue]]</f>
        <v>96.536212132836539</v>
      </c>
      <c r="P9" s="340">
        <f>INDEX(Parameters!$E$48:$E$77,MATCH(tblMatières[[#This Row],[Material]],Parameters!$B$48:$B$77,0))</f>
        <v>0</v>
      </c>
      <c r="Q9" s="585">
        <v>8801.3819999999996</v>
      </c>
      <c r="R9" s="454">
        <v>225.34444049370481</v>
      </c>
    </row>
    <row r="10" spans="2:18">
      <c r="B10" s="37" t="s">
        <v>27</v>
      </c>
      <c r="C10" s="37" t="s">
        <v>28</v>
      </c>
      <c r="D10" s="37" t="s">
        <v>33</v>
      </c>
      <c r="E10" s="37">
        <v>6</v>
      </c>
      <c r="F10" s="287">
        <f>INDEX(rgDéclaration_NbDécl,MATCH(tblMatières[[#This Row],[Material]],rgDéclaration_Matières,0))</f>
        <v>543</v>
      </c>
      <c r="G10" s="286">
        <f>INT(INDEX(rgDéclaration_QtéFinale,MATCH(tblMatières[[#This Row],[Material]],rgDéclaration_Matières,0)))</f>
        <v>26543002</v>
      </c>
      <c r="H10" s="286">
        <f>tblMatières[[#This Row],[Reported quantity net (kg)]]/1000</f>
        <v>26543.002</v>
      </c>
      <c r="I10" s="286">
        <f>tblMatières[[#This Row],[Reported quantity (tonnes)]]</f>
        <v>26543.002</v>
      </c>
      <c r="J10" s="286">
        <f>tblMatières[[#This Row],[Generated quantity  
(tonnes)]]*tblMatières[[#This Row],[% recovery]]</f>
        <v>15185.286865042328</v>
      </c>
      <c r="K10" s="286">
        <f>tblMatières[[#This Row],[Generated quantity  
(tonnes)]]-tblMatières[[#This Row],[Recovered quantity  (tonnes)]]</f>
        <v>11357.715134957672</v>
      </c>
      <c r="L10" s="450">
        <f>INDEX(Characterization!$F$7:$F$36,MATCH(tblMatières[[#This Row],[Material]],Characterization!$B$7:$B$36,0))</f>
        <v>0.57210133447009226</v>
      </c>
      <c r="M10" s="487">
        <f>INDEX(Parameters!$C$48:$C$77,MATCH(tblMatières[[#This Row],[Material]],Parameters!$B$48:$B$77,0))</f>
        <v>172.77872783111425</v>
      </c>
      <c r="N10" s="487">
        <f>INDEX(Parameters!$D$48:$D$77,MATCH(tblMatières[[#This Row],[Material]],Parameters!$B$48:$B$77,0))</f>
        <v>65.539103801495926</v>
      </c>
      <c r="O10" s="289">
        <f>tblMatières[[#This Row],[Gross cost]]-tblMatières[[#This Row],[Gross revenue]]</f>
        <v>107.23962402961833</v>
      </c>
      <c r="P10" s="340">
        <f>INDEX(Parameters!$E$48:$E$77,MATCH(tblMatières[[#This Row],[Material]],Parameters!$B$48:$B$77,0))</f>
        <v>0</v>
      </c>
      <c r="Q10" s="585">
        <v>28465.941999999999</v>
      </c>
      <c r="R10" s="454">
        <v>225.34444049370481</v>
      </c>
    </row>
    <row r="11" spans="2:18">
      <c r="B11" s="37" t="s">
        <v>34</v>
      </c>
      <c r="C11" s="37" t="s">
        <v>35</v>
      </c>
      <c r="D11" s="37" t="s">
        <v>36</v>
      </c>
      <c r="E11" s="37">
        <v>10</v>
      </c>
      <c r="F11" s="287">
        <f>INDEX(rgDéclaration_NbDécl,MATCH(tblMatières[[#This Row],[Material]],rgDéclaration_Matières,0))</f>
        <v>443</v>
      </c>
      <c r="G11" s="286">
        <f>INT(INDEX(rgDéclaration_QtéFinale,MATCH(tblMatières[[#This Row],[Material]],rgDéclaration_Matières,0)))</f>
        <v>57170796</v>
      </c>
      <c r="H11" s="286">
        <f>tblMatières[[#This Row],[Reported quantity net (kg)]]/1000</f>
        <v>57170.796000000002</v>
      </c>
      <c r="I11" s="286">
        <f>tblMatières[[#This Row],[Reported quantity (tonnes)]]</f>
        <v>57170.796000000002</v>
      </c>
      <c r="J11" s="286">
        <f>tblMatières[[#This Row],[Generated quantity  
(tonnes)]]*tblMatières[[#This Row],[% recovery]]</f>
        <v>40535.693523257782</v>
      </c>
      <c r="K11" s="286">
        <f>tblMatières[[#This Row],[Generated quantity  
(tonnes)]]-tblMatières[[#This Row],[Recovered quantity  (tonnes)]]</f>
        <v>16635.10247674222</v>
      </c>
      <c r="L11" s="450">
        <f>INDEX(Characterization!$F$7:$F$36,MATCH(tblMatières[[#This Row],[Material]],Characterization!$B$7:$B$36,0))</f>
        <v>0.70902797161085152</v>
      </c>
      <c r="M11" s="487">
        <f>INDEX(Parameters!$C$48:$C$77,MATCH(tblMatières[[#This Row],[Material]],Parameters!$B$48:$B$77,0))</f>
        <v>242.44432734821206</v>
      </c>
      <c r="N11" s="487">
        <f>INDEX(Parameters!$D$48:$D$77,MATCH(tblMatières[[#This Row],[Material]],Parameters!$B$48:$B$77,0))</f>
        <v>88.758193070403635</v>
      </c>
      <c r="O11" s="289">
        <f>tblMatières[[#This Row],[Gross cost]]-tblMatières[[#This Row],[Gross revenue]]</f>
        <v>153.68613427780843</v>
      </c>
      <c r="P11" s="340">
        <f>INDEX(Parameters!$E$48:$E$77,MATCH(tblMatières[[#This Row],[Material]],Parameters!$B$48:$B$77,0))</f>
        <v>0</v>
      </c>
      <c r="Q11" s="585">
        <v>62730.654000000002</v>
      </c>
      <c r="R11" s="454">
        <v>264.70245040515516</v>
      </c>
    </row>
    <row r="12" spans="2:18">
      <c r="B12" s="37" t="s">
        <v>34</v>
      </c>
      <c r="C12" s="37" t="s">
        <v>35</v>
      </c>
      <c r="D12" s="37" t="s">
        <v>37</v>
      </c>
      <c r="E12" s="37">
        <v>11</v>
      </c>
      <c r="F12" s="287">
        <f>INDEX(rgDéclaration_NbDécl,MATCH(tblMatières[[#This Row],[Material]],rgDéclaration_Matières,0))</f>
        <v>59</v>
      </c>
      <c r="G12" s="286">
        <f>INT(INDEX(rgDéclaration_QtéFinale,MATCH(tblMatières[[#This Row],[Material]],rgDéclaration_Matières,0)))</f>
        <v>2779533</v>
      </c>
      <c r="H12" s="286">
        <f>tblMatières[[#This Row],[Reported quantity net (kg)]]/1000</f>
        <v>2779.5329999999999</v>
      </c>
      <c r="I12" s="286">
        <f>tblMatières[[#This Row],[Reported quantity (tonnes)]]</f>
        <v>2779.5329999999999</v>
      </c>
      <c r="J12" s="286">
        <f>tblMatières[[#This Row],[Generated quantity  
(tonnes)]]*tblMatières[[#This Row],[% recovery]]</f>
        <v>954.88002661803682</v>
      </c>
      <c r="K12" s="286">
        <f>tblMatières[[#This Row],[Generated quantity  
(tonnes)]]-tblMatières[[#This Row],[Recovered quantity  (tonnes)]]</f>
        <v>1824.652973381963</v>
      </c>
      <c r="L12" s="450">
        <f>INDEX(Characterization!$F$7:$F$36,MATCH(tblMatières[[#This Row],[Material]],Characterization!$B$7:$B$36,0))</f>
        <v>0.34353973369556573</v>
      </c>
      <c r="M12" s="487">
        <f>INDEX(Parameters!$C$48:$C$77,MATCH(tblMatières[[#This Row],[Material]],Parameters!$B$48:$B$77,0))</f>
        <v>242.44432734821206</v>
      </c>
      <c r="N12" s="487">
        <f>INDEX(Parameters!$D$48:$D$77,MATCH(tblMatières[[#This Row],[Material]],Parameters!$B$48:$B$77,0))</f>
        <v>88.758193070403635</v>
      </c>
      <c r="O12" s="289">
        <f>tblMatières[[#This Row],[Gross cost]]-tblMatières[[#This Row],[Gross revenue]]</f>
        <v>153.68613427780843</v>
      </c>
      <c r="P12" s="340">
        <f>INDEX(Parameters!$E$48:$E$77,MATCH(tblMatières[[#This Row],[Material]],Parameters!$B$48:$B$77,0))</f>
        <v>0</v>
      </c>
      <c r="Q12" s="585">
        <v>2222.7310000000002</v>
      </c>
      <c r="R12" s="454">
        <v>264.70245040515516</v>
      </c>
    </row>
    <row r="13" spans="2:18">
      <c r="B13" s="37" t="s">
        <v>34</v>
      </c>
      <c r="C13" s="37" t="s">
        <v>35</v>
      </c>
      <c r="D13" s="37" t="s">
        <v>38</v>
      </c>
      <c r="E13" s="37">
        <v>12</v>
      </c>
      <c r="F13" s="287">
        <f>INDEX(rgDéclaration_NbDécl,MATCH(tblMatières[[#This Row],[Material]],rgDéclaration_Matières,0))</f>
        <v>27</v>
      </c>
      <c r="G13" s="286">
        <f>INT(INDEX(rgDéclaration_QtéFinale,MATCH(tblMatières[[#This Row],[Material]],rgDéclaration_Matières,0)))</f>
        <v>311677</v>
      </c>
      <c r="H13" s="286">
        <f>tblMatières[[#This Row],[Reported quantity net (kg)]]/1000</f>
        <v>311.67700000000002</v>
      </c>
      <c r="I13" s="286">
        <f>tblMatières[[#This Row],[Reported quantity (tonnes)]]</f>
        <v>311.67700000000002</v>
      </c>
      <c r="J13" s="286">
        <f>tblMatières[[#This Row],[Generated quantity  
(tonnes)]]*tblMatières[[#This Row],[% recovery]]</f>
        <v>99.135800518476543</v>
      </c>
      <c r="K13" s="286">
        <f>tblMatières[[#This Row],[Generated quantity  
(tonnes)]]-tblMatières[[#This Row],[Recovered quantity  (tonnes)]]</f>
        <v>212.54119948152348</v>
      </c>
      <c r="L13" s="450">
        <f>INDEX(Characterization!$F$7:$F$36,MATCH(tblMatières[[#This Row],[Material]],Characterization!$B$7:$B$36,0))</f>
        <v>0.31807223670170254</v>
      </c>
      <c r="M13" s="487">
        <f>INDEX(Parameters!$C$48:$C$77,MATCH(tblMatières[[#This Row],[Material]],Parameters!$B$48:$B$77,0))</f>
        <v>242.44432734821206</v>
      </c>
      <c r="N13" s="487">
        <f>INDEX(Parameters!$D$48:$D$77,MATCH(tblMatières[[#This Row],[Material]],Parameters!$B$48:$B$77,0))</f>
        <v>88.758193070403635</v>
      </c>
      <c r="O13" s="289">
        <f>tblMatières[[#This Row],[Gross cost]]-tblMatières[[#This Row],[Gross revenue]]</f>
        <v>153.68613427780843</v>
      </c>
      <c r="P13" s="340">
        <f>INDEX(Parameters!$E$48:$E$77,MATCH(tblMatières[[#This Row],[Material]],Parameters!$B$48:$B$77,0))</f>
        <v>0</v>
      </c>
      <c r="Q13" s="585">
        <v>152.471</v>
      </c>
      <c r="R13" s="454">
        <v>264.70245040515516</v>
      </c>
    </row>
    <row r="14" spans="2:18">
      <c r="B14" s="37" t="s">
        <v>34</v>
      </c>
      <c r="C14" s="37" t="s">
        <v>35</v>
      </c>
      <c r="D14" s="37" t="s">
        <v>39</v>
      </c>
      <c r="E14" s="37">
        <v>13</v>
      </c>
      <c r="F14" s="287">
        <f>INDEX(rgDéclaration_NbDécl,MATCH(tblMatières[[#This Row],[Material]],rgDéclaration_Matières,0))</f>
        <v>646</v>
      </c>
      <c r="G14" s="286">
        <f>INT(INDEX(rgDéclaration_QtéFinale,MATCH(tblMatières[[#This Row],[Material]],rgDéclaration_Matières,0)))</f>
        <v>87558264</v>
      </c>
      <c r="H14" s="286">
        <f>tblMatières[[#This Row],[Reported quantity net (kg)]]/1000</f>
        <v>87558.263999999996</v>
      </c>
      <c r="I14" s="286">
        <f>tblMatières[[#This Row],[Reported quantity (tonnes)]]</f>
        <v>87558.263999999996</v>
      </c>
      <c r="J14" s="286">
        <f>tblMatières[[#This Row],[Generated quantity  
(tonnes)]]*tblMatières[[#This Row],[% recovery]]</f>
        <v>49381.170834612974</v>
      </c>
      <c r="K14" s="286">
        <f>tblMatières[[#This Row],[Generated quantity  
(tonnes)]]-tblMatières[[#This Row],[Recovered quantity  (tonnes)]]</f>
        <v>38177.093165387021</v>
      </c>
      <c r="L14" s="450">
        <f>INDEX(Characterization!$F$7:$F$36,MATCH(tblMatières[[#This Row],[Material]],Characterization!$B$7:$B$36,0))</f>
        <v>0.56398069786551475</v>
      </c>
      <c r="M14" s="487">
        <f>INDEX(Parameters!$C$48:$C$77,MATCH(tblMatières[[#This Row],[Material]],Parameters!$B$48:$B$77,0))</f>
        <v>222.89</v>
      </c>
      <c r="N14" s="487">
        <f>INDEX(Parameters!$D$48:$D$77,MATCH(tblMatières[[#This Row],[Material]],Parameters!$B$48:$B$77,0))</f>
        <v>73.59</v>
      </c>
      <c r="O14" s="289">
        <f>tblMatières[[#This Row],[Gross cost]]-tblMatières[[#This Row],[Gross revenue]]</f>
        <v>149.29999999999998</v>
      </c>
      <c r="P14" s="340">
        <f>INDEX(Parameters!$E$48:$E$77,MATCH(tblMatières[[#This Row],[Material]],Parameters!$B$48:$B$77,0))</f>
        <v>0</v>
      </c>
      <c r="Q14" s="585">
        <v>87603.040999999997</v>
      </c>
      <c r="R14" s="454">
        <v>169.37906576029937</v>
      </c>
    </row>
    <row r="15" spans="2:18">
      <c r="B15" s="37" t="s">
        <v>34</v>
      </c>
      <c r="C15" s="37" t="s">
        <v>35</v>
      </c>
      <c r="D15" s="37" t="s">
        <v>40</v>
      </c>
      <c r="E15" s="37">
        <v>14</v>
      </c>
      <c r="F15" s="287">
        <f>INDEX(rgDéclaration_NbDécl,MATCH(tblMatières[[#This Row],[Material]],rgDéclaration_Matières,0))</f>
        <v>44</v>
      </c>
      <c r="G15" s="286">
        <f>INT(INDEX(rgDéclaration_QtéFinale,MATCH(tblMatières[[#This Row],[Material]],rgDéclaration_Matières,0)))</f>
        <v>12195590</v>
      </c>
      <c r="H15" s="286">
        <f>tblMatières[[#This Row],[Reported quantity net (kg)]]/1000</f>
        <v>12195.59</v>
      </c>
      <c r="I15" s="286">
        <f>tblMatières[[#This Row],[Reported quantity (tonnes)]]</f>
        <v>12195.59</v>
      </c>
      <c r="J15" s="286">
        <f>tblMatières[[#This Row],[Generated quantity  
(tonnes)]]*tblMatières[[#This Row],[% recovery]]</f>
        <v>8372.4597512227556</v>
      </c>
      <c r="K15" s="286">
        <f>tblMatières[[#This Row],[Generated quantity  
(tonnes)]]-tblMatières[[#This Row],[Recovered quantity  (tonnes)]]</f>
        <v>3823.1302487772446</v>
      </c>
      <c r="L15" s="450">
        <f>INDEX(Characterization!$F$7:$F$36,MATCH(tblMatières[[#This Row],[Material]],Characterization!$B$7:$B$36,0))</f>
        <v>0.68651535114108908</v>
      </c>
      <c r="M15" s="487">
        <f>INDEX(Parameters!$C$48:$C$77,MATCH(tblMatières[[#This Row],[Material]],Parameters!$B$48:$B$77,0))</f>
        <v>253.66340713032608</v>
      </c>
      <c r="N15" s="487">
        <f>INDEX(Parameters!$D$48:$D$77,MATCH(tblMatières[[#This Row],[Material]],Parameters!$B$48:$B$77,0))</f>
        <v>71.375170862239642</v>
      </c>
      <c r="O15" s="289">
        <f>tblMatières[[#This Row],[Gross cost]]-tblMatières[[#This Row],[Gross revenue]]</f>
        <v>182.28823626808645</v>
      </c>
      <c r="P15" s="340">
        <f>INDEX(Parameters!$E$48:$E$77,MATCH(tblMatières[[#This Row],[Material]],Parameters!$B$48:$B$77,0))</f>
        <v>0</v>
      </c>
      <c r="Q15" s="585">
        <v>13681.790999999999</v>
      </c>
      <c r="R15" s="454">
        <v>162.94905603114032</v>
      </c>
    </row>
    <row r="16" spans="2:18">
      <c r="B16" s="37" t="s">
        <v>34</v>
      </c>
      <c r="C16" s="37" t="s">
        <v>35</v>
      </c>
      <c r="D16" s="37" t="s">
        <v>41</v>
      </c>
      <c r="E16" s="37">
        <v>15</v>
      </c>
      <c r="F16" s="287">
        <f>INDEX(rgDéclaration_NbDécl,MATCH(tblMatières[[#This Row],[Material]],rgDéclaration_Matières,0))</f>
        <v>299</v>
      </c>
      <c r="G16" s="286">
        <f>INT(INDEX(rgDéclaration_QtéFinale,MATCH(tblMatières[[#This Row],[Material]],rgDéclaration_Matières,0)))</f>
        <v>12555716</v>
      </c>
      <c r="H16" s="286">
        <f>tblMatières[[#This Row],[Reported quantity net (kg)]]/1000</f>
        <v>12555.716</v>
      </c>
      <c r="I16" s="286">
        <f>tblMatières[[#This Row],[Reported quantity (tonnes)]]</f>
        <v>12555.716</v>
      </c>
      <c r="J16" s="286">
        <f>tblMatières[[#This Row],[Generated quantity  
(tonnes)]]*tblMatières[[#This Row],[% recovery]]</f>
        <v>3392.0864248591306</v>
      </c>
      <c r="K16" s="286">
        <f>tblMatières[[#This Row],[Generated quantity  
(tonnes)]]-tblMatières[[#This Row],[Recovered quantity  (tonnes)]]</f>
        <v>9163.6295751408688</v>
      </c>
      <c r="L16" s="450">
        <f>INDEX(Characterization!$F$7:$F$36,MATCH(tblMatières[[#This Row],[Material]],Characterization!$B$7:$B$36,0))</f>
        <v>0.27016272308637201</v>
      </c>
      <c r="M16" s="487">
        <f>INDEX(Parameters!$C$48:$C$77,MATCH(tblMatières[[#This Row],[Material]],Parameters!$B$48:$B$77,0))</f>
        <v>264.55625404850372</v>
      </c>
      <c r="N16" s="487">
        <f>INDEX(Parameters!$D$48:$D$77,MATCH(tblMatières[[#This Row],[Material]],Parameters!$B$48:$B$77,0))</f>
        <v>37.843922147128509</v>
      </c>
      <c r="O16" s="289">
        <f>tblMatières[[#This Row],[Gross cost]]-tblMatières[[#This Row],[Gross revenue]]</f>
        <v>226.71233190137519</v>
      </c>
      <c r="P16" s="340">
        <f>INDEX(Parameters!$E$48:$E$77,MATCH(tblMatières[[#This Row],[Material]],Parameters!$B$48:$B$77,0))</f>
        <v>0</v>
      </c>
      <c r="Q16" s="585">
        <v>12864.581</v>
      </c>
      <c r="R16" s="454">
        <v>181.98646513228991</v>
      </c>
    </row>
    <row r="17" spans="2:18">
      <c r="B17" s="37" t="s">
        <v>34</v>
      </c>
      <c r="C17" s="37" t="s">
        <v>35</v>
      </c>
      <c r="D17" s="37" t="s">
        <v>42</v>
      </c>
      <c r="E17" s="37">
        <v>16</v>
      </c>
      <c r="F17" s="287">
        <f>INDEX(rgDéclaration_NbDécl,MATCH(tblMatières[[#This Row],[Material]],rgDéclaration_Matières,0))</f>
        <v>43</v>
      </c>
      <c r="G17" s="286">
        <f>INT(INDEX(rgDéclaration_QtéFinale,MATCH(tblMatières[[#This Row],[Material]],rgDéclaration_Matières,0)))</f>
        <v>6206157</v>
      </c>
      <c r="H17" s="286">
        <f>tblMatières[[#This Row],[Reported quantity net (kg)]]/1000</f>
        <v>6206.1570000000002</v>
      </c>
      <c r="I17" s="286">
        <f>tblMatières[[#This Row],[Reported quantity (tonnes)]]</f>
        <v>6206.1570000000002</v>
      </c>
      <c r="J17" s="286">
        <f>tblMatières[[#This Row],[Generated quantity  
(tonnes)]]*tblMatières[[#This Row],[% recovery]]</f>
        <v>3243.9021752935305</v>
      </c>
      <c r="K17" s="286">
        <f>tblMatières[[#This Row],[Generated quantity  
(tonnes)]]-tblMatières[[#This Row],[Recovered quantity  (tonnes)]]</f>
        <v>2962.2548247064697</v>
      </c>
      <c r="L17" s="450">
        <f>INDEX(Characterization!$F$7:$F$36,MATCH(tblMatières[[#This Row],[Material]],Characterization!$B$7:$B$36,0))</f>
        <v>0.52269096242546398</v>
      </c>
      <c r="M17" s="487">
        <f>INDEX(Parameters!$C$48:$C$77,MATCH(tblMatières[[#This Row],[Material]],Parameters!$B$48:$B$77,0))</f>
        <v>249.79123840473002</v>
      </c>
      <c r="N17" s="487">
        <f>INDEX(Parameters!$D$48:$D$77,MATCH(tblMatières[[#This Row],[Material]],Parameters!$B$48:$B$77,0))</f>
        <v>63.679871675323923</v>
      </c>
      <c r="O17" s="289">
        <f>tblMatières[[#This Row],[Gross cost]]-tblMatières[[#This Row],[Gross revenue]]</f>
        <v>186.11136672940609</v>
      </c>
      <c r="P17" s="340">
        <f>INDEX(Parameters!$E$48:$E$77,MATCH(tblMatières[[#This Row],[Material]],Parameters!$B$48:$B$77,0))</f>
        <v>0</v>
      </c>
      <c r="Q17" s="585">
        <v>5461.9110000000001</v>
      </c>
      <c r="R17" s="454">
        <v>284.79961387104032</v>
      </c>
    </row>
    <row r="18" spans="2:18">
      <c r="B18" s="37" t="s">
        <v>34</v>
      </c>
      <c r="C18" s="37" t="s">
        <v>43</v>
      </c>
      <c r="D18" s="37" t="s">
        <v>44</v>
      </c>
      <c r="E18" s="37">
        <v>20</v>
      </c>
      <c r="F18" s="287">
        <f>INDEX(rgDéclaration_NbDécl,MATCH(tblMatières[[#This Row],[Material]],rgDéclaration_Matières,0))</f>
        <v>190</v>
      </c>
      <c r="G18" s="286">
        <f>INT(INDEX(rgDéclaration_QtéFinale,MATCH(tblMatières[[#This Row],[Material]],rgDéclaration_Matières,0)))</f>
        <v>23176744</v>
      </c>
      <c r="H18" s="286">
        <f>tblMatières[[#This Row],[Reported quantity net (kg)]]/1000</f>
        <v>23176.743999999999</v>
      </c>
      <c r="I18" s="286">
        <f>tblMatières[[#This Row],[Reported quantity (tonnes)]]</f>
        <v>23176.743999999999</v>
      </c>
      <c r="J18" s="286">
        <f>tblMatières[[#This Row],[Generated quantity  
(tonnes)]]*tblMatières[[#This Row],[% recovery]]</f>
        <v>13623.907422425867</v>
      </c>
      <c r="K18" s="286">
        <f>tblMatières[[#This Row],[Generated quantity  
(tonnes)]]-tblMatières[[#This Row],[Recovered quantity  (tonnes)]]</f>
        <v>9552.8365775741313</v>
      </c>
      <c r="L18" s="450">
        <f>INDEX(Characterization!$F$7:$F$36,MATCH(tblMatières[[#This Row],[Material]],Characterization!$B$7:$B$36,0))</f>
        <v>0.58782663442396688</v>
      </c>
      <c r="M18" s="487">
        <f>INDEX(Parameters!$C$48:$C$77,MATCH(tblMatières[[#This Row],[Material]],Parameters!$B$48:$B$77,0))</f>
        <v>504.66950684735929</v>
      </c>
      <c r="N18" s="487">
        <f>INDEX(Parameters!$D$48:$D$77,MATCH(tblMatières[[#This Row],[Material]],Parameters!$B$48:$B$77,0))</f>
        <v>298.66732096778912</v>
      </c>
      <c r="O18" s="289">
        <f>tblMatières[[#This Row],[Gross cost]]-tblMatières[[#This Row],[Gross revenue]]</f>
        <v>206.00218587957016</v>
      </c>
      <c r="P18" s="340">
        <f>INDEX(Parameters!$E$48:$E$77,MATCH(tblMatières[[#This Row],[Material]],Parameters!$B$48:$B$77,0))</f>
        <v>0</v>
      </c>
      <c r="Q18" s="585">
        <v>22223.485000000001</v>
      </c>
      <c r="R18" s="454">
        <v>220.27113635334769</v>
      </c>
    </row>
    <row r="19" spans="2:18">
      <c r="B19" s="37" t="s">
        <v>34</v>
      </c>
      <c r="C19" s="37" t="s">
        <v>43</v>
      </c>
      <c r="D19" s="37" t="s">
        <v>45</v>
      </c>
      <c r="E19" s="37">
        <v>21</v>
      </c>
      <c r="F19" s="287">
        <f>INDEX(rgDéclaration_NbDécl,MATCH(tblMatières[[#This Row],[Material]],rgDéclaration_Matières,0))</f>
        <v>265</v>
      </c>
      <c r="G19" s="286">
        <f>INT(INDEX(rgDéclaration_QtéFinale,MATCH(tblMatières[[#This Row],[Material]],rgDéclaration_Matières,0)))</f>
        <v>16609435</v>
      </c>
      <c r="H19" s="286">
        <f>tblMatières[[#This Row],[Reported quantity net (kg)]]/1000</f>
        <v>16609.435000000001</v>
      </c>
      <c r="I19" s="286">
        <f>tblMatières[[#This Row],[Reported quantity (tonnes)]]</f>
        <v>16609.435000000001</v>
      </c>
      <c r="J19" s="286">
        <f>tblMatières[[#This Row],[Generated quantity  
(tonnes)]]*tblMatières[[#This Row],[% recovery]]</f>
        <v>10319.634497317069</v>
      </c>
      <c r="K19" s="286">
        <f>tblMatières[[#This Row],[Generated quantity  
(tonnes)]]-tblMatières[[#This Row],[Recovered quantity  (tonnes)]]</f>
        <v>6289.8005026829323</v>
      </c>
      <c r="L19" s="450">
        <f>INDEX(Characterization!$F$7:$F$36,MATCH(tblMatières[[#This Row],[Material]],Characterization!$B$7:$B$36,0))</f>
        <v>0.62131159171381012</v>
      </c>
      <c r="M19" s="487">
        <f>INDEX(Parameters!$C$48:$C$77,MATCH(tblMatières[[#This Row],[Material]],Parameters!$B$48:$B$77,0))</f>
        <v>438.19871526060439</v>
      </c>
      <c r="N19" s="487">
        <f>INDEX(Parameters!$D$48:$D$77,MATCH(tblMatières[[#This Row],[Material]],Parameters!$B$48:$B$77,0))</f>
        <v>358.77255105008879</v>
      </c>
      <c r="O19" s="289">
        <f>tblMatières[[#This Row],[Gross cost]]-tblMatières[[#This Row],[Gross revenue]]</f>
        <v>79.426164210515594</v>
      </c>
      <c r="P19" s="340">
        <f>INDEX(Parameters!$E$48:$E$77,MATCH(tblMatières[[#This Row],[Material]],Parameters!$B$48:$B$77,0))</f>
        <v>0</v>
      </c>
      <c r="Q19" s="585">
        <v>17578.083999999999</v>
      </c>
      <c r="R19" s="454">
        <v>217.41066542563917</v>
      </c>
    </row>
    <row r="20" spans="2:18">
      <c r="B20" s="37" t="s">
        <v>34</v>
      </c>
      <c r="C20" s="37" t="s">
        <v>43</v>
      </c>
      <c r="D20" s="37" t="s">
        <v>46</v>
      </c>
      <c r="E20" s="37">
        <v>22</v>
      </c>
      <c r="F20" s="287">
        <f>INDEX(rgDéclaration_NbDécl,MATCH(tblMatières[[#This Row],[Material]],rgDéclaration_Matières,0))</f>
        <v>355</v>
      </c>
      <c r="G20" s="286">
        <f>INT(INDEX(rgDéclaration_QtéFinale,MATCH(tblMatières[[#This Row],[Material]],rgDéclaration_Matières,0)))</f>
        <v>12064946</v>
      </c>
      <c r="H20" s="286">
        <f>tblMatières[[#This Row],[Reported quantity net (kg)]]/1000</f>
        <v>12064.946</v>
      </c>
      <c r="I20" s="286">
        <f>tblMatières[[#This Row],[Reported quantity (tonnes)]]</f>
        <v>12064.946</v>
      </c>
      <c r="J20" s="286">
        <f>tblMatières[[#This Row],[Generated quantity  
(tonnes)]]*tblMatières[[#This Row],[% recovery]]</f>
        <v>1618.7545506972476</v>
      </c>
      <c r="K20" s="286">
        <f>tblMatières[[#This Row],[Generated quantity  
(tonnes)]]-tblMatières[[#This Row],[Recovered quantity  (tonnes)]]</f>
        <v>10446.191449302753</v>
      </c>
      <c r="L20" s="450">
        <f>INDEX(Characterization!$F$7:$F$36,MATCH(tblMatières[[#This Row],[Material]],Characterization!$B$7:$B$36,0))</f>
        <v>0.13417006182184715</v>
      </c>
      <c r="M20" s="487">
        <f>INDEX(Parameters!$C$48:$C$77,MATCH(tblMatières[[#This Row],[Material]],Parameters!$B$48:$B$77,0))</f>
        <v>474.20041448241329</v>
      </c>
      <c r="N20" s="487">
        <f>INDEX(Parameters!$D$48:$D$77,MATCH(tblMatières[[#This Row],[Material]],Parameters!$B$48:$B$77,0))</f>
        <v>-55.041457183679881</v>
      </c>
      <c r="O20" s="289">
        <f>tblMatières[[#This Row],[Gross cost]]-tblMatières[[#This Row],[Gross revenue]]</f>
        <v>529.24187166609318</v>
      </c>
      <c r="P20" s="340">
        <f>INDEX(Parameters!$E$48:$E$77,MATCH(tblMatières[[#This Row],[Material]],Parameters!$B$48:$B$77,0))</f>
        <v>0</v>
      </c>
      <c r="Q20" s="585">
        <v>10683.6</v>
      </c>
      <c r="R20" s="454">
        <v>517.80914879540842</v>
      </c>
    </row>
    <row r="21" spans="2:18">
      <c r="B21" s="37" t="s">
        <v>34</v>
      </c>
      <c r="C21" s="37" t="s">
        <v>43</v>
      </c>
      <c r="D21" s="37" t="s">
        <v>47</v>
      </c>
      <c r="E21" s="37">
        <v>23</v>
      </c>
      <c r="F21" s="287">
        <f>INDEX(rgDéclaration_NbDécl,MATCH(tblMatières[[#This Row],[Material]],rgDéclaration_Matières,0))</f>
        <v>470</v>
      </c>
      <c r="G21" s="286">
        <f>INT(INDEX(rgDéclaration_QtéFinale,MATCH(tblMatières[[#This Row],[Material]],rgDéclaration_Matières,0)))</f>
        <v>21920367</v>
      </c>
      <c r="H21" s="286">
        <f>tblMatières[[#This Row],[Reported quantity net (kg)]]/1000</f>
        <v>21920.366999999998</v>
      </c>
      <c r="I21" s="286">
        <f>tblMatières[[#This Row],[Reported quantity (tonnes)]]</f>
        <v>21920.366999999998</v>
      </c>
      <c r="J21" s="286">
        <f>tblMatières[[#This Row],[Generated quantity  
(tonnes)]]*tblMatières[[#This Row],[% recovery]]</f>
        <v>4791.0687245431354</v>
      </c>
      <c r="K21" s="286">
        <f>tblMatières[[#This Row],[Generated quantity  
(tonnes)]]-tblMatières[[#This Row],[Recovered quantity  (tonnes)]]</f>
        <v>17129.298275456862</v>
      </c>
      <c r="L21" s="450">
        <f>INDEX(Characterization!$F$7:$F$36,MATCH(tblMatières[[#This Row],[Material]],Characterization!$B$7:$B$36,0))</f>
        <v>0.21856699409015987</v>
      </c>
      <c r="M21" s="487">
        <f>INDEX(Parameters!$C$48:$C$77,MATCH(tblMatières[[#This Row],[Material]],Parameters!$B$48:$B$77,0))</f>
        <v>629.02736574643279</v>
      </c>
      <c r="N21" s="487">
        <f>INDEX(Parameters!$D$48:$D$77,MATCH(tblMatières[[#This Row],[Material]],Parameters!$B$48:$B$77,0))</f>
        <v>-6.6195306319440776</v>
      </c>
      <c r="O21" s="289">
        <f>tblMatières[[#This Row],[Gross cost]]-tblMatières[[#This Row],[Gross revenue]]</f>
        <v>635.64689637837682</v>
      </c>
      <c r="P21" s="340">
        <f>INDEX(Parameters!$E$48:$E$77,MATCH(tblMatières[[#This Row],[Material]],Parameters!$B$48:$B$77,0))</f>
        <v>0</v>
      </c>
      <c r="Q21" s="585">
        <v>22158.671999999999</v>
      </c>
      <c r="R21" s="454">
        <v>517.80914879540842</v>
      </c>
    </row>
    <row r="22" spans="2:18">
      <c r="B22" s="37" t="s">
        <v>34</v>
      </c>
      <c r="C22" s="37" t="s">
        <v>43</v>
      </c>
      <c r="D22" s="37" t="s">
        <v>48</v>
      </c>
      <c r="E22" s="37">
        <v>24</v>
      </c>
      <c r="F22" s="287">
        <f>INDEX(rgDéclaration_NbDécl,MATCH(tblMatières[[#This Row],[Material]],rgDéclaration_Matières,0))</f>
        <v>181</v>
      </c>
      <c r="G22" s="286">
        <f>INT(INDEX(rgDéclaration_QtéFinale,MATCH(tblMatières[[#This Row],[Material]],rgDéclaration_Matières,0)))</f>
        <v>9207600</v>
      </c>
      <c r="H22" s="286">
        <f>tblMatières[[#This Row],[Reported quantity net (kg)]]/1000</f>
        <v>9207.6</v>
      </c>
      <c r="I22" s="286">
        <f>tblMatières[[#This Row],[Reported quantity (tonnes)]]</f>
        <v>9207.6</v>
      </c>
      <c r="J22" s="286">
        <f>tblMatières[[#This Row],[Generated quantity  
(tonnes)]]*tblMatières[[#This Row],[% recovery]]</f>
        <v>1211.2228001806236</v>
      </c>
      <c r="K22" s="286">
        <f>tblMatières[[#This Row],[Generated quantity  
(tonnes)]]-tblMatières[[#This Row],[Recovered quantity  (tonnes)]]</f>
        <v>7996.377199819377</v>
      </c>
      <c r="L22" s="450">
        <f>INDEX(Characterization!$F$7:$F$36,MATCH(tblMatières[[#This Row],[Material]],Characterization!$B$7:$B$36,0))</f>
        <v>0.13154598377216903</v>
      </c>
      <c r="M22" s="487">
        <f>INDEX(Parameters!$C$48:$C$77,MATCH(tblMatières[[#This Row],[Material]],Parameters!$B$48:$B$77,0))</f>
        <v>629.02736574643279</v>
      </c>
      <c r="N22" s="487">
        <f>INDEX(Parameters!$D$48:$D$77,MATCH(tblMatières[[#This Row],[Material]],Parameters!$B$48:$B$77,0))</f>
        <v>-6.6195306319440776</v>
      </c>
      <c r="O22" s="289">
        <f>tblMatières[[#This Row],[Gross cost]]-tblMatières[[#This Row],[Gross revenue]]</f>
        <v>635.64689637837682</v>
      </c>
      <c r="P22" s="340">
        <f>INDEX(Parameters!$E$48:$E$77,MATCH(tblMatières[[#This Row],[Material]],Parameters!$B$48:$B$77,0))</f>
        <v>0</v>
      </c>
      <c r="Q22" s="585">
        <v>8805.6119999999992</v>
      </c>
      <c r="R22" s="454">
        <v>517.80914879540842</v>
      </c>
    </row>
    <row r="23" spans="2:18">
      <c r="B23" s="37" t="s">
        <v>34</v>
      </c>
      <c r="C23" s="37" t="s">
        <v>43</v>
      </c>
      <c r="D23" s="37" t="s">
        <v>49</v>
      </c>
      <c r="E23" s="37">
        <v>25</v>
      </c>
      <c r="F23" s="287">
        <f>INDEX(rgDéclaration_NbDécl,MATCH(tblMatières[[#This Row],[Material]],rgDéclaration_Matières,0))</f>
        <v>65</v>
      </c>
      <c r="G23" s="286">
        <f>INT(INDEX(rgDéclaration_QtéFinale,MATCH(tblMatières[[#This Row],[Material]],rgDéclaration_Matières,0)))</f>
        <v>4326075</v>
      </c>
      <c r="H23" s="286">
        <f>tblMatières[[#This Row],[Reported quantity net (kg)]]/1000</f>
        <v>4326.0749999999998</v>
      </c>
      <c r="I23" s="286">
        <f>tblMatières[[#This Row],[Reported quantity (tonnes)]]</f>
        <v>4326.0749999999998</v>
      </c>
      <c r="J23" s="286">
        <f>tblMatières[[#This Row],[Generated quantity  
(tonnes)]]*tblMatières[[#This Row],[% recovery]]</f>
        <v>310.34995403285171</v>
      </c>
      <c r="K23" s="286">
        <f>tblMatières[[#This Row],[Generated quantity  
(tonnes)]]-tblMatières[[#This Row],[Recovered quantity  (tonnes)]]</f>
        <v>4015.7250459671482</v>
      </c>
      <c r="L23" s="450">
        <f>INDEX(Characterization!$F$7:$F$36,MATCH(tblMatières[[#This Row],[Material]],Characterization!$B$7:$B$36,0))</f>
        <v>7.1739383629005907E-2</v>
      </c>
      <c r="M23" s="487">
        <f>INDEX(Parameters!$C$48:$C$77,MATCH(tblMatières[[#This Row],[Material]],Parameters!$B$48:$B$77,0))</f>
        <v>1970.4541126228219</v>
      </c>
      <c r="N23" s="487">
        <f>INDEX(Parameters!$D$48:$D$77,MATCH(tblMatières[[#This Row],[Material]],Parameters!$B$48:$B$77,0))</f>
        <v>-23.30865656861976</v>
      </c>
      <c r="O23" s="289">
        <f>tblMatières[[#This Row],[Gross cost]]-tblMatières[[#This Row],[Gross revenue]]</f>
        <v>1993.7627691914415</v>
      </c>
      <c r="P23" s="340">
        <f>INDEX(Parameters!$E$48:$E$77,MATCH(tblMatières[[#This Row],[Material]],Parameters!$B$48:$B$77,0))</f>
        <v>0</v>
      </c>
      <c r="Q23" s="585">
        <v>5517.9520000000002</v>
      </c>
      <c r="R23" s="454">
        <v>681.33429945303385</v>
      </c>
    </row>
    <row r="24" spans="2:18">
      <c r="B24" s="37" t="s">
        <v>34</v>
      </c>
      <c r="C24" s="37" t="s">
        <v>43</v>
      </c>
      <c r="D24" s="37" t="s">
        <v>50</v>
      </c>
      <c r="E24" s="37">
        <v>26</v>
      </c>
      <c r="F24" s="449">
        <f>INDEX(rgDéclaration_NbDécl,MATCH(tblMatières[[#This Row],[Material]],rgDéclaration_Matières,0))</f>
        <v>117</v>
      </c>
      <c r="G24" s="286">
        <f>INT(INDEX(rgDéclaration_QtéFinale,MATCH(tblMatières[[#This Row],[Material]],rgDéclaration_Matières,0)))</f>
        <v>1850197</v>
      </c>
      <c r="H24" s="286">
        <f>tblMatières[[#This Row],[Reported quantity net (kg)]]/1000</f>
        <v>1850.1969999999999</v>
      </c>
      <c r="I24" s="286">
        <f>tblMatières[[#This Row],[Reported quantity (tonnes)]]</f>
        <v>1850.1969999999999</v>
      </c>
      <c r="J24" s="286">
        <f>tblMatières[[#This Row],[Generated quantity  
(tonnes)]]*tblMatières[[#This Row],[% recovery]]</f>
        <v>606.7541775293505</v>
      </c>
      <c r="K24" s="286">
        <f>tblMatières[[#This Row],[Generated quantity  
(tonnes)]]-tblMatières[[#This Row],[Recovered quantity  (tonnes)]]</f>
        <v>1243.4428224706494</v>
      </c>
      <c r="L24" s="450">
        <f>INDEX(Characterization!$F$7:$F$36,MATCH(tblMatières[[#This Row],[Material]],Characterization!$B$7:$B$36,0))</f>
        <v>0.32794030988556921</v>
      </c>
      <c r="M24" s="487">
        <f>INDEX(Parameters!$C$48:$C$77,MATCH(tblMatières[[#This Row],[Material]],Parameters!$B$48:$B$77,0))</f>
        <v>1970.4541126228219</v>
      </c>
      <c r="N24" s="487">
        <f>INDEX(Parameters!$D$48:$D$77,MATCH(tblMatières[[#This Row],[Material]],Parameters!$B$48:$B$77,0))</f>
        <v>-23.30865656861976</v>
      </c>
      <c r="O24" s="289">
        <f>tblMatières[[#This Row],[Gross cost]]-tblMatières[[#This Row],[Gross revenue]]</f>
        <v>1993.7627691914415</v>
      </c>
      <c r="P24" s="340">
        <f>INDEX(Parameters!$E$48:$E$77,MATCH(tblMatières[[#This Row],[Material]],Parameters!$B$48:$B$77,0))</f>
        <v>0</v>
      </c>
      <c r="Q24" s="585">
        <v>3608.6619999999998</v>
      </c>
      <c r="R24" s="454">
        <v>681.33429945303385</v>
      </c>
    </row>
    <row r="25" spans="2:18">
      <c r="B25" s="37" t="s">
        <v>34</v>
      </c>
      <c r="C25" s="37" t="s">
        <v>43</v>
      </c>
      <c r="D25" s="37" t="s">
        <v>51</v>
      </c>
      <c r="E25" s="37">
        <v>27</v>
      </c>
      <c r="F25" s="287">
        <f>INDEX(rgDéclaration_NbDécl,MATCH(tblMatières[[#This Row],[Material]],rgDéclaration_Matières,0))</f>
        <v>150</v>
      </c>
      <c r="G25" s="286">
        <f>INT(INDEX(rgDéclaration_QtéFinale,MATCH(tblMatières[[#This Row],[Material]],rgDéclaration_Matières,0)))</f>
        <v>5060281</v>
      </c>
      <c r="H25" s="286">
        <f>tblMatières[[#This Row],[Reported quantity net (kg)]]/1000</f>
        <v>5060.2809999999999</v>
      </c>
      <c r="I25" s="286">
        <f>tblMatières[[#This Row],[Reported quantity (tonnes)]]</f>
        <v>5060.2809999999999</v>
      </c>
      <c r="J25" s="286">
        <f>tblMatières[[#This Row],[Generated quantity  
(tonnes)]]*tblMatières[[#This Row],[% recovery]]</f>
        <v>1589.2978514450424</v>
      </c>
      <c r="K25" s="286">
        <f>tblMatières[[#This Row],[Generated quantity  
(tonnes)]]-tblMatières[[#This Row],[Recovered quantity  (tonnes)]]</f>
        <v>3470.9831485549576</v>
      </c>
      <c r="L25" s="450">
        <f>INDEX(Characterization!$F$7:$F$36,MATCH(tblMatières[[#This Row],[Material]],Characterization!$B$7:$B$36,0))</f>
        <v>0.31407304286956444</v>
      </c>
      <c r="M25" s="487">
        <f>INDEX(Parameters!$C$48:$C$77,MATCH(tblMatières[[#This Row],[Material]],Parameters!$B$48:$B$77,0))</f>
        <v>389.53318714584924</v>
      </c>
      <c r="N25" s="487">
        <f>INDEX(Parameters!$D$48:$D$77,MATCH(tblMatières[[#This Row],[Material]],Parameters!$B$48:$B$77,0))</f>
        <v>7.5935223568260266</v>
      </c>
      <c r="O25" s="289">
        <f>tblMatières[[#This Row],[Gross cost]]-tblMatières[[#This Row],[Gross revenue]]</f>
        <v>381.9396647890232</v>
      </c>
      <c r="P25" s="340">
        <f>INDEX(Parameters!$E$48:$E$77,MATCH(tblMatières[[#This Row],[Material]],Parameters!$B$48:$B$77,0))</f>
        <v>0</v>
      </c>
      <c r="Q25" s="585">
        <v>5518.7359999999999</v>
      </c>
      <c r="R25" s="454">
        <v>681.33429945303385</v>
      </c>
    </row>
    <row r="26" spans="2:18">
      <c r="B26" s="37" t="s">
        <v>34</v>
      </c>
      <c r="C26" s="37" t="s">
        <v>43</v>
      </c>
      <c r="D26" s="37" t="s">
        <v>52</v>
      </c>
      <c r="E26" s="37">
        <v>28</v>
      </c>
      <c r="F26" s="287">
        <f>INDEX(rgDéclaration_NbDécl,MATCH(tblMatières[[#This Row],[Material]],rgDéclaration_Matières,0))</f>
        <v>110</v>
      </c>
      <c r="G26" s="286">
        <f>INT(INDEX(rgDéclaration_QtéFinale,MATCH(tblMatières[[#This Row],[Material]],rgDéclaration_Matières,0)))</f>
        <v>7067826</v>
      </c>
      <c r="H26" s="286">
        <f>tblMatières[[#This Row],[Reported quantity net (kg)]]/1000</f>
        <v>7067.826</v>
      </c>
      <c r="I26" s="286">
        <f>tblMatières[[#This Row],[Reported quantity (tonnes)]]</f>
        <v>7067.826</v>
      </c>
      <c r="J26" s="286">
        <f>tblMatières[[#This Row],[Generated quantity  
(tonnes)]]*tblMatières[[#This Row],[% recovery]]</f>
        <v>3446.1724346558049</v>
      </c>
      <c r="K26" s="286">
        <f>tblMatières[[#This Row],[Generated quantity  
(tonnes)]]-tblMatières[[#This Row],[Recovered quantity  (tonnes)]]</f>
        <v>3621.6535653441952</v>
      </c>
      <c r="L26" s="450">
        <f>INDEX(Characterization!$F$7:$F$36,MATCH(tblMatières[[#This Row],[Material]],Characterization!$B$7:$B$36,0))</f>
        <v>0.48758591887460229</v>
      </c>
      <c r="M26" s="487">
        <f>INDEX(Parameters!$C$48:$C$77,MATCH(tblMatières[[#This Row],[Material]],Parameters!$B$48:$B$77,0))</f>
        <v>373.08</v>
      </c>
      <c r="N26" s="487">
        <f>INDEX(Parameters!$D$48:$D$77,MATCH(tblMatières[[#This Row],[Material]],Parameters!$B$48:$B$77,0))</f>
        <v>46.71</v>
      </c>
      <c r="O26" s="289">
        <f>tblMatières[[#This Row],[Gross cost]]-tblMatières[[#This Row],[Gross revenue]]</f>
        <v>326.37</v>
      </c>
      <c r="P26" s="340">
        <f>INDEX(Parameters!$E$48:$E$77,MATCH(tblMatières[[#This Row],[Material]],Parameters!$B$48:$B$77,0))</f>
        <v>0</v>
      </c>
      <c r="Q26" s="585">
        <v>6133.366</v>
      </c>
      <c r="R26" s="454">
        <v>266.37333864174002</v>
      </c>
    </row>
    <row r="27" spans="2:18">
      <c r="B27" s="37" t="s">
        <v>34</v>
      </c>
      <c r="C27" s="37" t="s">
        <v>43</v>
      </c>
      <c r="D27" s="37" t="s">
        <v>53</v>
      </c>
      <c r="E27" s="37">
        <v>29</v>
      </c>
      <c r="F27" s="287">
        <f>INDEX(rgDéclaration_NbDécl,MATCH(tblMatières[[#This Row],[Material]],rgDéclaration_Matières,0))</f>
        <v>39</v>
      </c>
      <c r="G27" s="286">
        <f>INT(INDEX(rgDéclaration_QtéFinale,MATCH(tblMatières[[#This Row],[Material]],rgDéclaration_Matières,0)))</f>
        <v>88734</v>
      </c>
      <c r="H27" s="286">
        <f>tblMatières[[#This Row],[Reported quantity net (kg)]]/1000</f>
        <v>88.733999999999995</v>
      </c>
      <c r="I27" s="286">
        <f>tblMatières[[#This Row],[Reported quantity (tonnes)]]</f>
        <v>88.733999999999995</v>
      </c>
      <c r="J27" s="286">
        <f>tblMatières[[#This Row],[Generated quantity  
(tonnes)]]*tblMatières[[#This Row],[% recovery]]</f>
        <v>18.258565640010666</v>
      </c>
      <c r="K27" s="286">
        <f>tblMatières[[#This Row],[Generated quantity  
(tonnes)]]-tblMatières[[#This Row],[Recovered quantity  (tonnes)]]</f>
        <v>70.475434359989322</v>
      </c>
      <c r="L27" s="450">
        <f>INDEX(Characterization!$F$7:$F$36,MATCH(tblMatières[[#This Row],[Material]],Characterization!$B$7:$B$36,0))</f>
        <v>0.2057674131675645</v>
      </c>
      <c r="M27" s="487">
        <f>INDEX(Parameters!$C$48:$C$77,MATCH(tblMatières[[#This Row],[Material]],Parameters!$B$48:$B$77,0))</f>
        <v>512.82240445693878</v>
      </c>
      <c r="N27" s="487">
        <f>INDEX(Parameters!$D$48:$D$77,MATCH(tblMatières[[#This Row],[Material]],Parameters!$B$48:$B$77,0))</f>
        <v>282.31562432014283</v>
      </c>
      <c r="O27" s="289">
        <f>tblMatières[[#This Row],[Gross cost]]-tblMatières[[#This Row],[Gross revenue]]</f>
        <v>230.50678013679595</v>
      </c>
      <c r="P27" s="340">
        <f>INDEX(Parameters!$E$48:$E$77,MATCH(tblMatières[[#This Row],[Material]],Parameters!$B$48:$B$77,0))</f>
        <v>0</v>
      </c>
      <c r="Q27" s="585">
        <v>289.577</v>
      </c>
      <c r="R27" s="454">
        <v>681.33429945303385</v>
      </c>
    </row>
    <row r="28" spans="2:18">
      <c r="B28" s="37" t="s">
        <v>34</v>
      </c>
      <c r="C28" s="37" t="s">
        <v>43</v>
      </c>
      <c r="D28" s="37" t="s">
        <v>54</v>
      </c>
      <c r="E28" s="37">
        <v>30</v>
      </c>
      <c r="F28" s="287">
        <f>INDEX(rgDéclaration_NbDécl,MATCH(tblMatières[[#This Row],[Material]],rgDéclaration_Matières,0))</f>
        <v>534</v>
      </c>
      <c r="G28" s="286">
        <f>INT(INDEX(rgDéclaration_QtéFinale,MATCH(tblMatières[[#This Row],[Material]],rgDéclaration_Matières,0)))</f>
        <v>33319733</v>
      </c>
      <c r="H28" s="286">
        <f>tblMatières[[#This Row],[Reported quantity net (kg)]]/1000</f>
        <v>33319.733</v>
      </c>
      <c r="I28" s="286">
        <f>tblMatières[[#This Row],[Reported quantity (tonnes)]]</f>
        <v>33319.733</v>
      </c>
      <c r="J28" s="286">
        <f>tblMatières[[#This Row],[Generated quantity  
(tonnes)]]*tblMatières[[#This Row],[% recovery]]</f>
        <v>12129.950450506696</v>
      </c>
      <c r="K28" s="286">
        <f>tblMatières[[#This Row],[Generated quantity  
(tonnes)]]-tblMatières[[#This Row],[Recovered quantity  (tonnes)]]</f>
        <v>21189.782549493306</v>
      </c>
      <c r="L28" s="450">
        <f>INDEX(Characterization!$F$7:$F$36,MATCH(tblMatières[[#This Row],[Material]],Characterization!$B$7:$B$36,0))</f>
        <v>0.36404704835139873</v>
      </c>
      <c r="M28" s="487">
        <f>INDEX(Parameters!$C$48:$C$77,MATCH(tblMatières[[#This Row],[Material]],Parameters!$B$48:$B$77,0))</f>
        <v>380.47</v>
      </c>
      <c r="N28" s="487">
        <f>INDEX(Parameters!$D$48:$D$77,MATCH(tblMatières[[#This Row],[Material]],Parameters!$B$48:$B$77,0))</f>
        <v>111.9</v>
      </c>
      <c r="O28" s="289">
        <f>tblMatières[[#This Row],[Gross cost]]-tblMatières[[#This Row],[Gross revenue]]</f>
        <v>268.57000000000005</v>
      </c>
      <c r="P28" s="340">
        <f>INDEX(Parameters!$E$48:$E$77,MATCH(tblMatières[[#This Row],[Material]],Parameters!$B$48:$B$77,0))</f>
        <v>0</v>
      </c>
      <c r="Q28" s="585">
        <v>27062.167000000001</v>
      </c>
      <c r="R28" s="454">
        <v>266.37333864174002</v>
      </c>
    </row>
    <row r="29" spans="2:18">
      <c r="B29" s="37" t="s">
        <v>34</v>
      </c>
      <c r="C29" s="37" t="s">
        <v>2</v>
      </c>
      <c r="D29" s="37" t="s">
        <v>55</v>
      </c>
      <c r="E29" s="37">
        <v>40</v>
      </c>
      <c r="F29" s="287">
        <f>INDEX(rgDéclaration_NbDécl,MATCH(tblMatières[[#This Row],[Material]],rgDéclaration_Matières,0))</f>
        <v>89</v>
      </c>
      <c r="G29" s="286">
        <f>INT(INDEX(rgDéclaration_QtéFinale,MATCH(tblMatières[[#This Row],[Material]],rgDéclaration_Matières,0)))</f>
        <v>2927570</v>
      </c>
      <c r="H29" s="286">
        <f>tblMatières[[#This Row],[Reported quantity net (kg)]]/1000</f>
        <v>2927.57</v>
      </c>
      <c r="I29" s="286">
        <f>tblMatières[[#This Row],[Reported quantity (tonnes)]]</f>
        <v>2927.57</v>
      </c>
      <c r="J29" s="286">
        <f>tblMatières[[#This Row],[Generated quantity  
(tonnes)]]*tblMatières[[#This Row],[% recovery]]</f>
        <v>1291.1594981629264</v>
      </c>
      <c r="K29" s="286">
        <f>tblMatières[[#This Row],[Generated quantity  
(tonnes)]]-tblMatières[[#This Row],[Recovered quantity  (tonnes)]]</f>
        <v>1636.4105018370738</v>
      </c>
      <c r="L29" s="450">
        <f>INDEX(Characterization!$F$7:$F$36,MATCH(tblMatières[[#This Row],[Material]],Characterization!$B$7:$B$36,0))</f>
        <v>0.44103454337997938</v>
      </c>
      <c r="M29" s="487">
        <f>INDEX(Parameters!$C$48:$C$77,MATCH(tblMatières[[#This Row],[Material]],Parameters!$B$48:$B$77,0))</f>
        <v>415.62857125357999</v>
      </c>
      <c r="N29" s="487">
        <f>INDEX(Parameters!$D$48:$D$77,MATCH(tblMatières[[#This Row],[Material]],Parameters!$B$48:$B$77,0))</f>
        <v>622.6824268872673</v>
      </c>
      <c r="O29" s="289">
        <f>tblMatières[[#This Row],[Gross cost]]-tblMatières[[#This Row],[Gross revenue]]</f>
        <v>-207.05385563368731</v>
      </c>
      <c r="P29" s="340">
        <f>INDEX(Parameters!$E$48:$E$77,MATCH(tblMatières[[#This Row],[Material]],Parameters!$B$48:$B$77,0))</f>
        <v>0</v>
      </c>
      <c r="Q29" s="585">
        <v>2617.3319999999999</v>
      </c>
      <c r="R29" s="454">
        <v>187.76535110527985</v>
      </c>
    </row>
    <row r="30" spans="2:18">
      <c r="B30" s="37" t="s">
        <v>34</v>
      </c>
      <c r="C30" s="37" t="s">
        <v>2</v>
      </c>
      <c r="D30" s="37" t="s">
        <v>56</v>
      </c>
      <c r="E30" s="37">
        <v>41</v>
      </c>
      <c r="F30" s="287">
        <f>INDEX(rgDéclaration_NbDécl,MATCH(tblMatières[[#This Row],[Material]],rgDéclaration_Matières,0))</f>
        <v>228</v>
      </c>
      <c r="G30" s="286">
        <f>INT(INDEX(rgDéclaration_QtéFinale,MATCH(tblMatières[[#This Row],[Material]],rgDéclaration_Matières,0)))</f>
        <v>2080948</v>
      </c>
      <c r="H30" s="286">
        <f>tblMatières[[#This Row],[Reported quantity net (kg)]]/1000</f>
        <v>2080.9479999999999</v>
      </c>
      <c r="I30" s="286">
        <f>tblMatières[[#This Row],[Reported quantity (tonnes)]]</f>
        <v>2080.9479999999999</v>
      </c>
      <c r="J30" s="286">
        <f>tblMatières[[#This Row],[Generated quantity  
(tonnes)]]*tblMatières[[#This Row],[% recovery]]</f>
        <v>222.40040322833309</v>
      </c>
      <c r="K30" s="286">
        <f>tblMatières[[#This Row],[Generated quantity  
(tonnes)]]-tblMatières[[#This Row],[Recovered quantity  (tonnes)]]</f>
        <v>1858.5475967716668</v>
      </c>
      <c r="L30" s="450">
        <f>INDEX(Characterization!$F$7:$F$36,MATCH(tblMatières[[#This Row],[Material]],Characterization!$B$7:$B$36,0))</f>
        <v>0.10687456064655777</v>
      </c>
      <c r="M30" s="487">
        <f>INDEX(Parameters!$C$48:$C$77,MATCH(tblMatières[[#This Row],[Material]],Parameters!$B$48:$B$77,0))</f>
        <v>388.20984489728426</v>
      </c>
      <c r="N30" s="487">
        <f>INDEX(Parameters!$D$48:$D$77,MATCH(tblMatières[[#This Row],[Material]],Parameters!$B$48:$B$77,0))</f>
        <v>450.54057421259438</v>
      </c>
      <c r="O30" s="289">
        <f>tblMatières[[#This Row],[Gross cost]]-tblMatières[[#This Row],[Gross revenue]]</f>
        <v>-62.330729315310123</v>
      </c>
      <c r="P30" s="340">
        <f>INDEX(Parameters!$E$48:$E$77,MATCH(tblMatières[[#This Row],[Material]],Parameters!$B$48:$B$77,0))</f>
        <v>0</v>
      </c>
      <c r="Q30" s="585">
        <v>2030.9829999999999</v>
      </c>
      <c r="R30" s="454">
        <v>187.76535110527985</v>
      </c>
    </row>
    <row r="31" spans="2:18">
      <c r="B31" s="37" t="s">
        <v>34</v>
      </c>
      <c r="C31" s="37" t="s">
        <v>57</v>
      </c>
      <c r="D31" s="37" t="s">
        <v>58</v>
      </c>
      <c r="E31" s="37">
        <v>50</v>
      </c>
      <c r="F31" s="287">
        <f>INDEX(rgDéclaration_NbDécl,MATCH(tblMatières[[#This Row],[Material]],rgDéclaration_Matières,0))</f>
        <v>104</v>
      </c>
      <c r="G31" s="286">
        <f>INT(INDEX(rgDéclaration_QtéFinale,MATCH(tblMatières[[#This Row],[Material]],rgDéclaration_Matières,0)))</f>
        <v>1674407</v>
      </c>
      <c r="H31" s="286">
        <f>tblMatières[[#This Row],[Reported quantity net (kg)]]/1000</f>
        <v>1674.4069999999999</v>
      </c>
      <c r="I31" s="286">
        <f>tblMatières[[#This Row],[Reported quantity (tonnes)]]</f>
        <v>1674.4069999999999</v>
      </c>
      <c r="J31" s="286">
        <f>tblMatières[[#This Row],[Generated quantity  
(tonnes)]]*tblMatières[[#This Row],[% recovery]]</f>
        <v>310.16626167182272</v>
      </c>
      <c r="K31" s="286">
        <f>tblMatières[[#This Row],[Generated quantity  
(tonnes)]]-tblMatières[[#This Row],[Recovered quantity  (tonnes)]]</f>
        <v>1364.2407383281773</v>
      </c>
      <c r="L31" s="450">
        <f>INDEX(Characterization!$F$7:$F$36,MATCH(tblMatières[[#This Row],[Material]],Characterization!$B$7:$B$36,0))</f>
        <v>0.18523946786642839</v>
      </c>
      <c r="M31" s="487">
        <f>INDEX(Parameters!$C$48:$C$77,MATCH(tblMatières[[#This Row],[Material]],Parameters!$B$48:$B$77,0))</f>
        <v>371.94419990136953</v>
      </c>
      <c r="N31" s="487">
        <f>INDEX(Parameters!$D$48:$D$77,MATCH(tblMatières[[#This Row],[Material]],Parameters!$B$48:$B$77,0))</f>
        <v>571.29893568913508</v>
      </c>
      <c r="O31" s="289">
        <f>tblMatières[[#This Row],[Gross cost]]-tblMatières[[#This Row],[Gross revenue]]</f>
        <v>-199.35473578776555</v>
      </c>
      <c r="P31" s="340">
        <f>INDEX(Parameters!$E$48:$E$77,MATCH(tblMatières[[#This Row],[Material]],Parameters!$B$48:$B$77,0))</f>
        <v>0</v>
      </c>
      <c r="Q31" s="585">
        <v>2221.808</v>
      </c>
      <c r="R31" s="454">
        <v>114.87126320595611</v>
      </c>
    </row>
    <row r="32" spans="2:18">
      <c r="B32" s="37" t="s">
        <v>34</v>
      </c>
      <c r="C32" s="37" t="s">
        <v>57</v>
      </c>
      <c r="D32" s="37" t="s">
        <v>59</v>
      </c>
      <c r="E32" s="37">
        <v>51</v>
      </c>
      <c r="F32" s="287">
        <f>INDEX(rgDéclaration_NbDécl,MATCH(tblMatières[[#This Row],[Material]],rgDéclaration_Matières,0))</f>
        <v>210</v>
      </c>
      <c r="G32" s="286">
        <f>INT(INDEX(rgDéclaration_QtéFinale,MATCH(tblMatières[[#This Row],[Material]],rgDéclaration_Matières,0)))</f>
        <v>26909557</v>
      </c>
      <c r="H32" s="286">
        <f>tblMatières[[#This Row],[Reported quantity net (kg)]]/1000</f>
        <v>26909.557000000001</v>
      </c>
      <c r="I32" s="286">
        <f>tblMatières[[#This Row],[Reported quantity (tonnes)]]</f>
        <v>26909.557000000001</v>
      </c>
      <c r="J32" s="286">
        <f>tblMatières[[#This Row],[Generated quantity  
(tonnes)]]*tblMatières[[#This Row],[% recovery]]</f>
        <v>15062.447967705493</v>
      </c>
      <c r="K32" s="286">
        <f>tblMatières[[#This Row],[Generated quantity  
(tonnes)]]-tblMatières[[#This Row],[Recovered quantity  (tonnes)]]</f>
        <v>11847.109032294507</v>
      </c>
      <c r="L32" s="450">
        <f>INDEX(Characterization!$F$7:$F$36,MATCH(tblMatières[[#This Row],[Material]],Characterization!$B$7:$B$36,0))</f>
        <v>0.55974343864915699</v>
      </c>
      <c r="M32" s="487">
        <f>INDEX(Parameters!$C$48:$C$77,MATCH(tblMatières[[#This Row],[Material]],Parameters!$B$48:$B$77,0))</f>
        <v>277.10493091321689</v>
      </c>
      <c r="N32" s="487">
        <f>INDEX(Parameters!$D$48:$D$77,MATCH(tblMatières[[#This Row],[Material]],Parameters!$B$48:$B$77,0))</f>
        <v>219.29840536479117</v>
      </c>
      <c r="O32" s="289">
        <f>tblMatières[[#This Row],[Gross cost]]-tblMatières[[#This Row],[Gross revenue]]</f>
        <v>57.806525548425725</v>
      </c>
      <c r="P32" s="340">
        <f>INDEX(Parameters!$E$48:$E$77,MATCH(tblMatières[[#This Row],[Material]],Parameters!$B$48:$B$77,0))</f>
        <v>0</v>
      </c>
      <c r="Q32" s="585">
        <v>30876.32</v>
      </c>
      <c r="R32" s="454">
        <v>114.87126320595611</v>
      </c>
    </row>
    <row r="33" spans="2:18">
      <c r="B33" s="37" t="s">
        <v>34</v>
      </c>
      <c r="C33" s="37" t="s">
        <v>60</v>
      </c>
      <c r="D33" s="37" t="s">
        <v>61</v>
      </c>
      <c r="E33" s="37">
        <v>60</v>
      </c>
      <c r="F33" s="287">
        <f>INDEX(rgDéclaration_NbDécl,MATCH(tblMatières[[#This Row],[Material]],rgDéclaration_Matières,0))</f>
        <v>199</v>
      </c>
      <c r="G33" s="286">
        <f>INT(INDEX(rgDéclaration_QtéFinale,MATCH(tblMatières[[#This Row],[Material]],rgDéclaration_Matières,0)))</f>
        <v>54262899</v>
      </c>
      <c r="H33" s="286">
        <f>tblMatières[[#This Row],[Reported quantity net (kg)]]/1000</f>
        <v>54262.898999999998</v>
      </c>
      <c r="I33" s="286">
        <f>tblMatières[[#This Row],[Reported quantity (tonnes)]]</f>
        <v>54262.898999999998</v>
      </c>
      <c r="J33" s="286">
        <f>tblMatières[[#This Row],[Generated quantity  
(tonnes)]]*tblMatières[[#This Row],[% recovery]]</f>
        <v>41916.035629230697</v>
      </c>
      <c r="K33" s="286">
        <f>tblMatières[[#This Row],[Generated quantity  
(tonnes)]]-tblMatières[[#This Row],[Recovered quantity  (tonnes)]]</f>
        <v>12346.863370769301</v>
      </c>
      <c r="L33" s="450">
        <f>INDEX(Characterization!$F$7:$F$36,MATCH(tblMatières[[#This Row],[Material]],Characterization!$B$7:$B$36,0))</f>
        <v>0.77246215004529517</v>
      </c>
      <c r="M33" s="487">
        <f>INDEX(Parameters!$C$48:$C$77,MATCH(tblMatières[[#This Row],[Material]],Parameters!$B$48:$B$77,0))</f>
        <v>136.90188685491088</v>
      </c>
      <c r="N33" s="487">
        <f>INDEX(Parameters!$D$48:$D$77,MATCH(tblMatières[[#This Row],[Material]],Parameters!$B$48:$B$77,0))</f>
        <v>-42.518992159558358</v>
      </c>
      <c r="O33" s="289">
        <f>tblMatières[[#This Row],[Gross cost]]-tblMatières[[#This Row],[Gross revenue]]</f>
        <v>179.42087901446925</v>
      </c>
      <c r="P33" s="340">
        <f>INDEX(Parameters!$E$48:$E$77,MATCH(tblMatières[[#This Row],[Material]],Parameters!$B$48:$B$77,0))</f>
        <v>0</v>
      </c>
      <c r="Q33" s="585">
        <v>55031.042999999998</v>
      </c>
      <c r="R33" s="454">
        <v>97.11413046968147</v>
      </c>
    </row>
    <row r="34" spans="2:18">
      <c r="B34" s="37" t="s">
        <v>34</v>
      </c>
      <c r="C34" s="37" t="s">
        <v>60</v>
      </c>
      <c r="D34" s="37" t="s">
        <v>62</v>
      </c>
      <c r="E34" s="37">
        <v>61</v>
      </c>
      <c r="F34" s="287">
        <f>INDEX(rgDéclaration_NbDécl,MATCH(tblMatières[[#This Row],[Material]],rgDéclaration_Matières,0))</f>
        <v>122</v>
      </c>
      <c r="G34" s="286">
        <f>INT(INDEX(rgDéclaration_QtéFinale,MATCH(tblMatières[[#This Row],[Material]],rgDéclaration_Matières,0)))</f>
        <v>82425142</v>
      </c>
      <c r="H34" s="286">
        <f>tblMatières[[#This Row],[Reported quantity net (kg)]]/1000</f>
        <v>82425.142000000007</v>
      </c>
      <c r="I34" s="286">
        <f>tblMatières[[#This Row],[Reported quantity (tonnes)]]</f>
        <v>82425.142000000007</v>
      </c>
      <c r="J34" s="286">
        <f>tblMatières[[#This Row],[Generated quantity  
(tonnes)]]*tblMatières[[#This Row],[% recovery]]</f>
        <v>63670.302407108764</v>
      </c>
      <c r="K34" s="286">
        <f>tblMatières[[#This Row],[Generated quantity  
(tonnes)]]-tblMatières[[#This Row],[Recovered quantity  (tonnes)]]</f>
        <v>18754.839592891243</v>
      </c>
      <c r="L34" s="450">
        <f>INDEX(Characterization!$F$7:$F$36,MATCH(tblMatières[[#This Row],[Material]],Characterization!$B$7:$B$36,0))</f>
        <v>0.77246215004529517</v>
      </c>
      <c r="M34" s="487">
        <f>INDEX(Parameters!$C$48:$C$77,MATCH(tblMatières[[#This Row],[Material]],Parameters!$B$48:$B$77,0))</f>
        <v>136.25083495406378</v>
      </c>
      <c r="N34" s="487">
        <f>INDEX(Parameters!$D$48:$D$77,MATCH(tblMatières[[#This Row],[Material]],Parameters!$B$48:$B$77,0))</f>
        <v>-44.207563273629816</v>
      </c>
      <c r="O34" s="289">
        <f>tblMatières[[#This Row],[Gross cost]]-tblMatières[[#This Row],[Gross revenue]]</f>
        <v>180.45839822769358</v>
      </c>
      <c r="P34" s="340">
        <f>INDEX(Parameters!$E$48:$E$77,MATCH(tblMatières[[#This Row],[Material]],Parameters!$B$48:$B$77,0))</f>
        <v>0</v>
      </c>
      <c r="Q34" s="585">
        <v>92546.828999999998</v>
      </c>
      <c r="R34" s="454">
        <v>94.40671131898182</v>
      </c>
    </row>
    <row r="35" spans="2:18">
      <c r="B35" s="633" t="s">
        <v>3</v>
      </c>
      <c r="C35" s="633"/>
      <c r="D35" s="633"/>
      <c r="E35" s="633"/>
      <c r="F35" s="634">
        <f>SUBTOTAL(109,tblMatières[Nb reportings])</f>
        <v>5991</v>
      </c>
      <c r="G35" s="634">
        <f>SUBTOTAL(109,tblMatières[Reported quantity net (kg)])</f>
        <v>644994450</v>
      </c>
      <c r="H35" s="634">
        <f>SUBTOTAL(109,tblMatières[Reported quantity (tonnes)])</f>
        <v>644994.44999999995</v>
      </c>
      <c r="I35" s="634">
        <f>SUBTOTAL(109,tblMatières[Generated quantity  
(tonnes)])</f>
        <v>644994.44999999995</v>
      </c>
      <c r="J35" s="634">
        <f>SUBTOTAL(109,tblMatières[Recovered quantity  (tonnes)])</f>
        <v>406590.86812763795</v>
      </c>
      <c r="K35" s="634">
        <f>SUBTOTAL(109,tblMatières[[Eliminated quantity ]])</f>
        <v>238403.58187236209</v>
      </c>
      <c r="L35" s="635"/>
      <c r="M35" s="635"/>
      <c r="N35" s="635"/>
      <c r="O35" s="635"/>
      <c r="P35" s="635"/>
      <c r="Q35" s="636"/>
      <c r="R35" s="636"/>
    </row>
    <row r="38" spans="2:18" ht="34.5" customHeight="1">
      <c r="D38" s="466"/>
      <c r="E38" s="466"/>
      <c r="F38" s="466"/>
      <c r="G38" s="466"/>
      <c r="H38" s="466"/>
      <c r="I38" s="466"/>
      <c r="J38" s="466"/>
      <c r="K38" s="466"/>
      <c r="L38" s="466"/>
      <c r="M38" s="466"/>
    </row>
    <row r="39" spans="2:18">
      <c r="D39" s="394"/>
      <c r="E39" s="443"/>
      <c r="F39" s="281"/>
      <c r="G39" s="281"/>
      <c r="H39" s="281"/>
      <c r="I39" s="281"/>
      <c r="J39" s="459"/>
      <c r="K39" s="457"/>
      <c r="L39" s="465"/>
      <c r="M39" s="465"/>
      <c r="Q39" s="455"/>
    </row>
    <row r="40" spans="2:18">
      <c r="D40" s="395"/>
      <c r="E40" s="443"/>
      <c r="F40" s="281"/>
      <c r="G40" s="281"/>
      <c r="H40" s="281"/>
      <c r="I40" s="281"/>
      <c r="J40" s="459"/>
      <c r="K40" s="457"/>
      <c r="L40" s="465"/>
      <c r="M40" s="465"/>
    </row>
    <row r="41" spans="2:18">
      <c r="D41" s="451"/>
      <c r="E41" s="443"/>
      <c r="F41" s="281"/>
      <c r="G41" s="281"/>
      <c r="H41" s="281"/>
      <c r="I41" s="281"/>
      <c r="J41" s="459"/>
      <c r="K41" s="457"/>
      <c r="L41" s="465"/>
      <c r="M41" s="465"/>
    </row>
    <row r="42" spans="2:18">
      <c r="D42" s="451"/>
      <c r="E42" s="443"/>
      <c r="F42" s="281"/>
      <c r="G42" s="281"/>
      <c r="H42" s="281"/>
      <c r="I42" s="281"/>
      <c r="J42" s="459"/>
      <c r="K42" s="457"/>
      <c r="L42" s="465"/>
      <c r="M42" s="465"/>
    </row>
    <row r="43" spans="2:18">
      <c r="D43" s="451"/>
      <c r="E43" s="443"/>
      <c r="F43" s="281"/>
      <c r="G43" s="281"/>
      <c r="H43" s="281"/>
      <c r="I43" s="281"/>
      <c r="J43" s="459"/>
      <c r="K43" s="457"/>
      <c r="L43" s="465"/>
      <c r="M43" s="465"/>
    </row>
    <row r="44" spans="2:18">
      <c r="D44" s="451"/>
      <c r="E44" s="443"/>
      <c r="F44" s="281"/>
      <c r="G44" s="281"/>
      <c r="H44" s="281"/>
      <c r="I44" s="281"/>
      <c r="J44" s="459"/>
      <c r="K44" s="457"/>
      <c r="L44" s="465"/>
      <c r="M44" s="465"/>
    </row>
    <row r="45" spans="2:18">
      <c r="D45" s="451"/>
      <c r="E45" s="443"/>
      <c r="F45" s="281"/>
      <c r="G45" s="281"/>
      <c r="H45" s="281"/>
      <c r="I45" s="281"/>
      <c r="J45" s="459"/>
      <c r="K45" s="457"/>
      <c r="L45" s="465"/>
      <c r="M45" s="465"/>
    </row>
    <row r="46" spans="2:18">
      <c r="D46" s="451"/>
      <c r="E46" s="443"/>
      <c r="F46" s="281"/>
      <c r="G46" s="281"/>
      <c r="H46" s="281"/>
      <c r="I46" s="281"/>
      <c r="J46" s="459"/>
      <c r="K46" s="457"/>
      <c r="L46" s="465"/>
      <c r="M46" s="465"/>
    </row>
    <row r="47" spans="2:18">
      <c r="D47" s="394"/>
      <c r="E47" s="443"/>
      <c r="F47" s="281"/>
      <c r="G47" s="281"/>
      <c r="H47" s="281"/>
      <c r="I47" s="281"/>
      <c r="J47" s="459"/>
      <c r="K47" s="457"/>
      <c r="L47" s="465"/>
      <c r="M47" s="465"/>
    </row>
    <row r="48" spans="2:18">
      <c r="D48" s="395"/>
      <c r="E48" s="443"/>
      <c r="F48" s="281"/>
      <c r="G48" s="281"/>
      <c r="H48" s="281"/>
      <c r="I48" s="281"/>
      <c r="J48" s="459"/>
      <c r="K48" s="457"/>
      <c r="L48" s="465"/>
      <c r="M48" s="465"/>
    </row>
    <row r="49" spans="4:13">
      <c r="D49" s="451"/>
      <c r="E49" s="443"/>
      <c r="F49" s="281"/>
      <c r="G49" s="281"/>
      <c r="H49" s="281"/>
      <c r="I49" s="281"/>
      <c r="J49" s="459"/>
      <c r="K49" s="457"/>
      <c r="L49" s="465"/>
      <c r="M49" s="465"/>
    </row>
    <row r="50" spans="4:13">
      <c r="D50" s="451"/>
      <c r="E50" s="443"/>
      <c r="F50" s="281"/>
      <c r="G50" s="281"/>
      <c r="H50" s="281"/>
      <c r="I50" s="281"/>
      <c r="J50" s="459"/>
      <c r="K50" s="457"/>
      <c r="L50" s="465"/>
      <c r="M50" s="465"/>
    </row>
    <row r="51" spans="4:13">
      <c r="D51" s="451"/>
      <c r="E51" s="443"/>
      <c r="F51" s="281"/>
      <c r="G51" s="281"/>
      <c r="H51" s="281"/>
      <c r="I51" s="281"/>
      <c r="J51" s="459"/>
      <c r="K51" s="457"/>
      <c r="L51" s="465"/>
      <c r="M51" s="465"/>
    </row>
    <row r="52" spans="4:13">
      <c r="D52" s="451"/>
      <c r="E52" s="443"/>
      <c r="F52" s="281"/>
      <c r="G52" s="281"/>
      <c r="H52" s="281"/>
      <c r="I52" s="281"/>
      <c r="J52" s="459"/>
      <c r="K52" s="457"/>
      <c r="L52" s="465"/>
      <c r="M52" s="465"/>
    </row>
    <row r="53" spans="4:13">
      <c r="D53" s="451"/>
      <c r="E53" s="443"/>
      <c r="F53" s="281"/>
      <c r="G53" s="281"/>
      <c r="H53" s="281"/>
      <c r="I53" s="281"/>
      <c r="J53" s="459"/>
      <c r="K53" s="457"/>
      <c r="L53" s="465"/>
      <c r="M53" s="465"/>
    </row>
    <row r="54" spans="4:13">
      <c r="D54" s="451"/>
      <c r="E54" s="443"/>
      <c r="F54" s="281"/>
      <c r="G54" s="281"/>
      <c r="H54" s="281"/>
      <c r="I54" s="281"/>
      <c r="J54" s="459"/>
      <c r="K54" s="457"/>
      <c r="L54" s="465"/>
      <c r="M54" s="465"/>
    </row>
    <row r="55" spans="4:13">
      <c r="D55" s="451"/>
      <c r="E55" s="443"/>
      <c r="F55" s="281"/>
      <c r="G55" s="281"/>
      <c r="H55" s="281"/>
      <c r="I55" s="281"/>
      <c r="J55" s="459"/>
      <c r="K55" s="457"/>
      <c r="L55" s="465"/>
      <c r="M55" s="465"/>
    </row>
    <row r="56" spans="4:13">
      <c r="D56" s="395"/>
      <c r="E56" s="443"/>
      <c r="F56" s="281"/>
      <c r="G56" s="281"/>
      <c r="H56" s="281"/>
      <c r="I56" s="281"/>
      <c r="J56" s="459"/>
      <c r="K56" s="457"/>
      <c r="L56" s="465"/>
      <c r="M56" s="465"/>
    </row>
    <row r="57" spans="4:13">
      <c r="D57" s="451"/>
      <c r="E57" s="443"/>
      <c r="F57" s="281"/>
      <c r="G57" s="281"/>
      <c r="H57" s="281"/>
      <c r="I57" s="281"/>
      <c r="J57" s="459"/>
      <c r="K57" s="457"/>
      <c r="L57" s="465"/>
      <c r="M57" s="465"/>
    </row>
    <row r="58" spans="4:13">
      <c r="D58" s="451"/>
      <c r="E58" s="443"/>
      <c r="F58" s="281"/>
      <c r="G58" s="281"/>
      <c r="H58" s="281"/>
      <c r="I58" s="281"/>
      <c r="J58" s="459"/>
      <c r="K58" s="457"/>
      <c r="L58" s="465"/>
      <c r="M58" s="465"/>
    </row>
    <row r="59" spans="4:13">
      <c r="D59" s="451"/>
      <c r="E59" s="443"/>
      <c r="F59" s="281"/>
      <c r="G59" s="281"/>
      <c r="H59" s="281"/>
      <c r="I59" s="281"/>
      <c r="J59" s="459"/>
      <c r="K59" s="457"/>
      <c r="L59" s="465"/>
      <c r="M59" s="465"/>
    </row>
    <row r="60" spans="4:13">
      <c r="D60" s="451"/>
      <c r="E60" s="443"/>
      <c r="F60" s="281"/>
      <c r="G60" s="281"/>
      <c r="H60" s="281"/>
      <c r="I60" s="281"/>
      <c r="J60" s="459"/>
      <c r="K60" s="457"/>
      <c r="L60" s="465"/>
      <c r="M60" s="465"/>
    </row>
    <row r="61" spans="4:13">
      <c r="D61" s="451"/>
      <c r="E61" s="443"/>
      <c r="F61" s="281"/>
      <c r="G61" s="281"/>
      <c r="H61" s="281"/>
      <c r="I61" s="281"/>
      <c r="J61" s="459"/>
      <c r="K61" s="457"/>
      <c r="L61" s="465"/>
      <c r="M61" s="465"/>
    </row>
    <row r="62" spans="4:13">
      <c r="D62" s="451"/>
      <c r="E62" s="443"/>
      <c r="F62" s="281"/>
      <c r="G62" s="281"/>
      <c r="H62" s="281"/>
      <c r="I62" s="281"/>
      <c r="J62" s="459"/>
      <c r="K62" s="457"/>
      <c r="L62" s="465"/>
      <c r="M62" s="465"/>
    </row>
    <row r="63" spans="4:13">
      <c r="D63" s="451"/>
      <c r="E63" s="443"/>
      <c r="F63" s="281"/>
      <c r="G63" s="281"/>
      <c r="H63" s="281"/>
      <c r="I63" s="281"/>
      <c r="J63" s="459"/>
      <c r="K63" s="457"/>
      <c r="L63" s="465"/>
      <c r="M63" s="465"/>
    </row>
    <row r="64" spans="4:13">
      <c r="D64" s="451"/>
      <c r="E64" s="443"/>
      <c r="F64" s="281"/>
      <c r="G64" s="281"/>
      <c r="H64" s="281"/>
      <c r="I64" s="281"/>
      <c r="J64" s="459"/>
      <c r="K64" s="457"/>
      <c r="L64" s="465"/>
      <c r="M64" s="465"/>
    </row>
    <row r="65" spans="4:13">
      <c r="D65" s="451"/>
      <c r="E65" s="443"/>
      <c r="F65" s="281"/>
      <c r="G65" s="281"/>
      <c r="H65" s="281"/>
      <c r="I65" s="281"/>
      <c r="J65" s="459"/>
      <c r="K65" s="457"/>
      <c r="L65" s="465"/>
      <c r="M65" s="465"/>
    </row>
    <row r="66" spans="4:13">
      <c r="D66" s="451"/>
      <c r="E66" s="443"/>
      <c r="F66" s="281"/>
      <c r="G66" s="281"/>
      <c r="H66" s="281"/>
      <c r="I66" s="281"/>
      <c r="J66" s="459"/>
      <c r="K66" s="457"/>
      <c r="L66" s="465"/>
      <c r="M66" s="465"/>
    </row>
    <row r="67" spans="4:13">
      <c r="D67" s="451"/>
      <c r="E67" s="443"/>
      <c r="F67" s="281"/>
      <c r="G67" s="281"/>
      <c r="H67" s="281"/>
      <c r="I67" s="281"/>
      <c r="J67" s="459"/>
      <c r="K67" s="457"/>
      <c r="L67" s="465"/>
      <c r="M67" s="465"/>
    </row>
    <row r="68" spans="4:13">
      <c r="D68" s="395"/>
      <c r="E68" s="443"/>
      <c r="F68" s="281"/>
      <c r="G68" s="281"/>
      <c r="H68" s="281"/>
      <c r="I68" s="281"/>
      <c r="J68" s="459"/>
      <c r="K68" s="457"/>
      <c r="L68" s="465"/>
      <c r="M68" s="465"/>
    </row>
    <row r="69" spans="4:13">
      <c r="D69" s="451"/>
      <c r="E69" s="443"/>
      <c r="F69" s="281"/>
      <c r="G69" s="281"/>
      <c r="H69" s="281"/>
      <c r="I69" s="281"/>
      <c r="J69" s="459"/>
      <c r="K69" s="457"/>
      <c r="L69" s="465"/>
      <c r="M69" s="465"/>
    </row>
    <row r="70" spans="4:13">
      <c r="D70" s="451"/>
      <c r="E70" s="443"/>
      <c r="F70" s="281"/>
      <c r="G70" s="281"/>
      <c r="H70" s="281"/>
      <c r="I70" s="281"/>
      <c r="J70" s="459"/>
      <c r="K70" s="457"/>
      <c r="L70" s="465"/>
      <c r="M70" s="465"/>
    </row>
    <row r="71" spans="4:13">
      <c r="D71" s="395"/>
      <c r="E71" s="443"/>
      <c r="F71" s="281"/>
      <c r="G71" s="281"/>
      <c r="H71" s="281"/>
      <c r="I71" s="281"/>
      <c r="J71" s="459"/>
      <c r="K71" s="457"/>
      <c r="L71" s="465"/>
      <c r="M71" s="465"/>
    </row>
    <row r="72" spans="4:13">
      <c r="D72" s="451"/>
      <c r="E72" s="443"/>
      <c r="F72" s="281"/>
      <c r="G72" s="281"/>
      <c r="H72" s="281"/>
      <c r="I72" s="281"/>
      <c r="J72" s="459"/>
      <c r="K72" s="457"/>
      <c r="L72" s="465"/>
      <c r="M72" s="465"/>
    </row>
    <row r="73" spans="4:13">
      <c r="D73" s="451"/>
      <c r="E73" s="443"/>
      <c r="F73" s="281"/>
      <c r="G73" s="281"/>
      <c r="H73" s="281"/>
      <c r="I73" s="281"/>
      <c r="J73" s="459"/>
      <c r="K73" s="457"/>
      <c r="L73" s="465"/>
      <c r="M73" s="465"/>
    </row>
    <row r="74" spans="4:13">
      <c r="D74" s="395"/>
      <c r="E74" s="443"/>
      <c r="F74" s="281"/>
      <c r="G74" s="281"/>
      <c r="H74" s="281"/>
      <c r="I74" s="281"/>
      <c r="J74" s="459"/>
      <c r="K74" s="457"/>
      <c r="L74" s="465"/>
      <c r="M74" s="465"/>
    </row>
    <row r="75" spans="4:13">
      <c r="D75" s="451"/>
      <c r="E75" s="443"/>
      <c r="F75" s="281"/>
      <c r="G75" s="281"/>
      <c r="H75" s="281"/>
      <c r="I75" s="281"/>
      <c r="J75" s="459"/>
      <c r="K75" s="457"/>
      <c r="L75" s="465"/>
      <c r="M75" s="465"/>
    </row>
    <row r="76" spans="4:13">
      <c r="D76" s="451"/>
      <c r="E76" s="443"/>
      <c r="F76" s="281"/>
      <c r="G76" s="281"/>
      <c r="H76" s="281"/>
      <c r="I76" s="281"/>
      <c r="J76" s="459"/>
      <c r="K76" s="457"/>
      <c r="L76" s="465"/>
      <c r="M76" s="465"/>
    </row>
    <row r="77" spans="4:13">
      <c r="D77" s="394"/>
      <c r="E77" s="443"/>
      <c r="F77" s="281"/>
      <c r="G77" s="281"/>
      <c r="H77" s="281"/>
      <c r="I77" s="281"/>
      <c r="J77" s="459"/>
      <c r="K77" s="457"/>
      <c r="L77" s="465"/>
      <c r="M77" s="465"/>
    </row>
    <row r="84" spans="4:5">
      <c r="D84" s="394"/>
      <c r="E84" s="458"/>
    </row>
    <row r="85" spans="4:5">
      <c r="D85" s="394"/>
      <c r="E85" s="458"/>
    </row>
    <row r="86" spans="4:5">
      <c r="D86" s="394"/>
      <c r="E86" s="458"/>
    </row>
    <row r="87" spans="4:5">
      <c r="D87" s="394"/>
      <c r="E87" s="458"/>
    </row>
    <row r="88" spans="4:5">
      <c r="D88" s="394"/>
      <c r="E88" s="458"/>
    </row>
    <row r="89" spans="4:5">
      <c r="D89" s="394"/>
      <c r="E89" s="458"/>
    </row>
  </sheetData>
  <sheetProtection password="82A0" sheet="1" objects="1" scenarios="1"/>
  <pageMargins left="0.25" right="0.25" top="0.75" bottom="0.75" header="0.3" footer="0.3"/>
  <pageSetup paperSize="5" scale="48" fitToHeight="0"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FFC000"/>
    <pageSetUpPr fitToPage="1"/>
  </sheetPr>
  <dimension ref="A1:J54"/>
  <sheetViews>
    <sheetView showGridLines="0" zoomScale="80" zoomScaleNormal="80" zoomScaleSheetLayoutView="70" workbookViewId="0">
      <pane xSplit="2" ySplit="7" topLeftCell="C8" activePane="bottomRight" state="frozen"/>
      <selection activeCell="J62" sqref="J62"/>
      <selection pane="topRight" activeCell="J62" sqref="J62"/>
      <selection pane="bottomLeft" activeCell="J62" sqref="J62"/>
      <selection pane="bottomRight" activeCell="A52" sqref="A52"/>
    </sheetView>
  </sheetViews>
  <sheetFormatPr baseColWidth="10" defaultColWidth="9.140625" defaultRowHeight="15"/>
  <cols>
    <col min="1" max="1" width="25.42578125" customWidth="1"/>
    <col min="2" max="2" width="50.85546875" bestFit="1" customWidth="1"/>
    <col min="3" max="3" width="17.7109375" customWidth="1"/>
    <col min="4" max="4" width="17.140625" customWidth="1"/>
    <col min="5" max="5" width="16.42578125" customWidth="1"/>
    <col min="6" max="6" width="17.7109375" customWidth="1"/>
    <col min="7" max="7" width="19.42578125" customWidth="1"/>
    <col min="8" max="8" width="28.5703125" customWidth="1"/>
  </cols>
  <sheetData>
    <row r="1" spans="1:10" s="159" customFormat="1" ht="15.75" thickBot="1">
      <c r="A1" s="4" t="s">
        <v>156</v>
      </c>
      <c r="B1" s="36"/>
    </row>
    <row r="2" spans="1:10" ht="6.75" customHeight="1" thickBot="1">
      <c r="A2" s="35"/>
      <c r="B2" s="35"/>
    </row>
    <row r="3" spans="1:10" ht="18.75" thickBot="1">
      <c r="A3" s="93" t="str">
        <f>Parameters!B4</f>
        <v>Schedule</v>
      </c>
      <c r="B3" s="245">
        <f>AnnéeTarif</f>
        <v>2015</v>
      </c>
    </row>
    <row r="4" spans="1:10" ht="18.75" thickBot="1">
      <c r="A4" s="93" t="str">
        <f>Parameters!B5</f>
        <v>Scenario</v>
      </c>
      <c r="B4" s="245" t="str">
        <f>Parameters!C5</f>
        <v>Final July 2016</v>
      </c>
    </row>
    <row r="5" spans="1:10" ht="18.75" thickBot="1">
      <c r="A5" s="93" t="str">
        <f>Parameters!B6</f>
        <v>Reference Year</v>
      </c>
      <c r="B5" s="94">
        <f>AnnéeRéf</f>
        <v>2014</v>
      </c>
      <c r="G5" s="37"/>
      <c r="H5" s="37"/>
    </row>
    <row r="6" spans="1:10" ht="15.75" customHeight="1">
      <c r="A6" s="105"/>
      <c r="B6" s="105"/>
      <c r="C6" s="657"/>
      <c r="D6" s="658"/>
      <c r="E6" s="658"/>
      <c r="F6" s="659"/>
      <c r="G6" s="640" t="s">
        <v>156</v>
      </c>
      <c r="H6" s="641"/>
    </row>
    <row r="7" spans="1:10" ht="45.75" thickBot="1">
      <c r="A7" s="271" t="str">
        <f>'Executive Summary'!A7</f>
        <v>CLASS</v>
      </c>
      <c r="B7" s="9" t="str">
        <f>'Executive Summary'!B7</f>
        <v>Material</v>
      </c>
      <c r="C7" s="638" t="str">
        <f>'Executive Summary'!D7</f>
        <v>Generated quantity (t)</v>
      </c>
      <c r="D7" s="638" t="str">
        <f>'Executive Summary'!E7</f>
        <v>Recovered quantity (t)</v>
      </c>
      <c r="E7" s="638" t="str">
        <f>'Executive Summary'!$F$7</f>
        <v>Eliminated quantity (t)</v>
      </c>
      <c r="F7" s="639" t="str">
        <f>'Executive Summary'!$C$7</f>
        <v>Reported quantity
(t)</v>
      </c>
      <c r="G7" s="170" t="s">
        <v>158</v>
      </c>
      <c r="H7" s="170" t="s">
        <v>159</v>
      </c>
    </row>
    <row r="8" spans="1:10" ht="15.75" thickBot="1">
      <c r="A8" s="99"/>
      <c r="B8" s="69" t="s">
        <v>157</v>
      </c>
      <c r="C8" s="70"/>
      <c r="D8" s="71"/>
      <c r="E8" s="71"/>
      <c r="F8" s="72"/>
      <c r="G8" s="149">
        <f>Facteur1</f>
        <v>0.4</v>
      </c>
      <c r="H8" s="150"/>
    </row>
    <row r="9" spans="1:10">
      <c r="A9" s="43" t="str">
        <f>'Executive Summary'!$A8</f>
        <v>PRINTED MATTER</v>
      </c>
      <c r="B9" s="11"/>
      <c r="C9" s="104"/>
      <c r="D9" s="79"/>
      <c r="E9" s="79"/>
      <c r="F9" s="103"/>
      <c r="G9" s="68"/>
      <c r="H9" s="111"/>
    </row>
    <row r="10" spans="1:10">
      <c r="A10" s="63"/>
      <c r="B10" s="37" t="str">
        <f>INDEX(ListeMatières,1)</f>
        <v>Newsprint inserts and circulars</v>
      </c>
      <c r="C10" s="58">
        <f>INDEX(tblMatières[Generated quantity  
(tonnes)],MATCH($B10,tblMatières[Material],0))</f>
        <v>100503.348</v>
      </c>
      <c r="D10" s="26">
        <f>INDEX(tblMatières[Recovered quantity  (tonnes)],MATCH($B10,tblMatières[Material],0))</f>
        <v>85864.816326250861</v>
      </c>
      <c r="E10" s="26">
        <f t="shared" ref="E10:E15" si="0">C10-D10</f>
        <v>14638.531673749138</v>
      </c>
      <c r="F10" s="48">
        <f>INDEX(tblMatières[Reported quantity (tonnes)],MATCH($B10,tblMatières[Material],0))</f>
        <v>100503.348</v>
      </c>
      <c r="G10" s="75">
        <f t="shared" ref="G10:G15" si="1">E10/$E$16</f>
        <v>0.44669709042840622</v>
      </c>
      <c r="H10" s="303">
        <f t="shared" ref="H10:H15" si="2">G10*$H$53</f>
        <v>5070423.7836299287</v>
      </c>
      <c r="J10" s="461"/>
    </row>
    <row r="11" spans="1:10">
      <c r="A11" s="38"/>
      <c r="B11" s="37" t="str">
        <f>INDEX(ListeMatières,2)</f>
        <v>Catalogues and publications</v>
      </c>
      <c r="C11" s="58">
        <f>INDEX(tblMatières[Generated quantity  
(tonnes)],MATCH($B11,tblMatières[Material],0))</f>
        <v>16909.731</v>
      </c>
      <c r="D11" s="26">
        <f>INDEX(tblMatières[Recovered quantity  (tonnes)],MATCH($B11,tblMatières[Material],0))</f>
        <v>13561.464056479286</v>
      </c>
      <c r="E11" s="26">
        <f t="shared" si="0"/>
        <v>3348.2669435207135</v>
      </c>
      <c r="F11" s="48">
        <f>INDEX(tblMatières[Reported quantity (tonnes)],MATCH($B11,tblMatières[Material],0))</f>
        <v>16909.731</v>
      </c>
      <c r="G11" s="75">
        <f t="shared" si="1"/>
        <v>0.10217289103731914</v>
      </c>
      <c r="H11" s="303">
        <f t="shared" si="2"/>
        <v>1159756.505825917</v>
      </c>
      <c r="J11" s="461"/>
    </row>
    <row r="12" spans="1:10">
      <c r="A12" s="38"/>
      <c r="B12" s="37" t="str">
        <f>INDEX(ListeMatières,3)</f>
        <v>Magazines</v>
      </c>
      <c r="C12" s="58">
        <f>INDEX(tblMatières[Generated quantity  
(tonnes)],MATCH($B12,tblMatières[Material],0))</f>
        <v>10816.571</v>
      </c>
      <c r="D12" s="26">
        <f>INDEX(tblMatières[Recovered quantity  (tonnes)],MATCH($B12,tblMatières[Material],0))</f>
        <v>9110.2160408458858</v>
      </c>
      <c r="E12" s="26">
        <f t="shared" si="0"/>
        <v>1706.3549591541141</v>
      </c>
      <c r="F12" s="48">
        <f>INDEX(tblMatières[Reported quantity (tonnes)],MATCH($B12,tblMatières[Material],0))</f>
        <v>10816.571</v>
      </c>
      <c r="G12" s="75">
        <f t="shared" si="1"/>
        <v>5.2069689261191335E-2</v>
      </c>
      <c r="H12" s="303">
        <f t="shared" si="2"/>
        <v>591038.97583698086</v>
      </c>
      <c r="J12" s="461"/>
    </row>
    <row r="13" spans="1:10">
      <c r="A13" s="38"/>
      <c r="B13" s="37" t="str">
        <f>INDEX(ListeMatières,4)</f>
        <v>Telephone books</v>
      </c>
      <c r="C13" s="58">
        <f>INDEX(tblMatières[Generated quantity  
(tonnes)],MATCH($B13,tblMatières[Material],0))</f>
        <v>1956.9110000000001</v>
      </c>
      <c r="D13" s="26">
        <f>INDEX(tblMatières[Recovered quantity  (tonnes)],MATCH($B13,tblMatières[Material],0))</f>
        <v>1761.6059678635033</v>
      </c>
      <c r="E13" s="26">
        <f t="shared" si="0"/>
        <v>195.30503213649672</v>
      </c>
      <c r="F13" s="48">
        <f>INDEX(tblMatières[Reported quantity (tonnes)],MATCH($B13,tblMatières[Material],0))</f>
        <v>1956.9110000000001</v>
      </c>
      <c r="G13" s="75">
        <f t="shared" si="1"/>
        <v>5.95976369391258E-3</v>
      </c>
      <c r="H13" s="303">
        <f t="shared" si="2"/>
        <v>67648.812194964892</v>
      </c>
      <c r="J13" s="461"/>
    </row>
    <row r="14" spans="1:10">
      <c r="A14" s="38"/>
      <c r="B14" s="37" t="str">
        <f>INDEX(ListeMatières,5)</f>
        <v>Paper for general use</v>
      </c>
      <c r="C14" s="58">
        <f>INDEX(tblMatières[Generated quantity  
(tonnes)],MATCH($B14,tblMatières[Material],0))</f>
        <v>4514.6930000000002</v>
      </c>
      <c r="D14" s="26">
        <f>INDEX(tblMatières[Recovered quantity  (tonnes)],MATCH($B14,tblMatières[Material],0))</f>
        <v>2990.2667386915787</v>
      </c>
      <c r="E14" s="26">
        <f t="shared" si="0"/>
        <v>1524.4262613084215</v>
      </c>
      <c r="F14" s="48">
        <f>INDEX(tblMatières[Reported quantity (tonnes)],MATCH($B14,tblMatières[Material],0))</f>
        <v>4514.6930000000002</v>
      </c>
      <c r="G14" s="75">
        <f t="shared" si="1"/>
        <v>4.6518106506560734E-2</v>
      </c>
      <c r="H14" s="303">
        <f t="shared" si="2"/>
        <v>528023.39360233385</v>
      </c>
      <c r="J14" s="461"/>
    </row>
    <row r="15" spans="1:10">
      <c r="A15" s="38"/>
      <c r="B15" s="37" t="str">
        <f>INDEX(ListeMatières,6)</f>
        <v>Other printed matter</v>
      </c>
      <c r="C15" s="58">
        <f>INDEX(tblMatières[Generated quantity  
(tonnes)],MATCH($B15,tblMatières[Material],0))</f>
        <v>26543.002</v>
      </c>
      <c r="D15" s="26">
        <f>INDEX(tblMatières[Recovered quantity  (tonnes)],MATCH($B15,tblMatières[Material],0))</f>
        <v>15185.286865042328</v>
      </c>
      <c r="E15" s="26">
        <f t="shared" si="0"/>
        <v>11357.715134957672</v>
      </c>
      <c r="F15" s="48">
        <f>INDEX(tblMatières[Reported quantity (tonnes)],MATCH($B15,tblMatières[Material],0))</f>
        <v>26543.002</v>
      </c>
      <c r="G15" s="75">
        <f t="shared" si="1"/>
        <v>0.34658245907260998</v>
      </c>
      <c r="H15" s="303">
        <f t="shared" si="2"/>
        <v>3934030.4226860865</v>
      </c>
      <c r="J15" s="461"/>
    </row>
    <row r="16" spans="1:10" ht="15.75" thickBot="1">
      <c r="A16" s="55" t="str">
        <f>'Executive Summary'!$A15</f>
        <v>TOTAL - PRINTED MATTER</v>
      </c>
      <c r="B16" s="20"/>
      <c r="C16" s="462">
        <f t="shared" ref="C16:E16" si="3">SUBTOTAL(9,C10:C15)</f>
        <v>161244.25599999999</v>
      </c>
      <c r="D16" s="462">
        <f t="shared" si="3"/>
        <v>128473.65599517347</v>
      </c>
      <c r="E16" s="462">
        <f t="shared" si="3"/>
        <v>32770.600004826556</v>
      </c>
      <c r="F16" s="28">
        <f>SUBTOTAL(9,F10:F15)</f>
        <v>161244.25599999999</v>
      </c>
      <c r="G16" s="90">
        <f t="shared" ref="G16:H16" si="4">SUBTOTAL(9,G10:G15)</f>
        <v>1</v>
      </c>
      <c r="H16" s="304">
        <f t="shared" si="4"/>
        <v>11350921.893776212</v>
      </c>
    </row>
    <row r="17" spans="1:10">
      <c r="A17" s="38"/>
      <c r="B17" s="35"/>
      <c r="C17" s="38"/>
      <c r="D17" s="35"/>
      <c r="E17" s="35"/>
      <c r="F17" s="39"/>
      <c r="G17" s="67"/>
      <c r="H17" s="302"/>
    </row>
    <row r="18" spans="1:10">
      <c r="A18" s="43" t="str">
        <f>'Executive Summary'!$A17</f>
        <v>CONTAINERS AND PACKAGING</v>
      </c>
      <c r="B18" s="11"/>
      <c r="C18" s="34"/>
      <c r="D18" s="11"/>
      <c r="E18" s="11"/>
      <c r="F18" s="45"/>
      <c r="G18" s="68"/>
      <c r="H18" s="309"/>
    </row>
    <row r="19" spans="1:10">
      <c r="A19" s="46" t="str">
        <f>'Executive Summary'!$A18</f>
        <v>Paperboard</v>
      </c>
      <c r="B19" s="37" t="str">
        <f>INDEX(ListeMatières,7)</f>
        <v>Corrugated cardboard</v>
      </c>
      <c r="C19" s="58">
        <f>INDEX(tblMatières[Generated quantity  
(tonnes)],MATCH($B19,tblMatières[Material],0))</f>
        <v>57170.796000000002</v>
      </c>
      <c r="D19" s="26">
        <f>INDEX(tblMatières[Recovered quantity  (tonnes)],MATCH($B19,tblMatières[Material],0))</f>
        <v>40535.693523257782</v>
      </c>
      <c r="E19" s="26">
        <f t="shared" ref="E19:E25" si="5">C19-D19</f>
        <v>16635.10247674222</v>
      </c>
      <c r="F19" s="48">
        <f>INDEX(tblMatières[Reported quantity (tonnes)],MATCH($B19,tblMatières[Material],0))</f>
        <v>57170.796000000002</v>
      </c>
      <c r="G19" s="102">
        <f t="shared" ref="G19:G25" si="6">E19/$E$48</f>
        <v>8.0897054186853168E-2</v>
      </c>
      <c r="H19" s="303">
        <f t="shared" ref="H19:H25" si="7">G19*$H$54</f>
        <v>3403227.6659010621</v>
      </c>
      <c r="J19" s="461"/>
    </row>
    <row r="20" spans="1:10">
      <c r="A20" s="46"/>
      <c r="B20" s="37" t="str">
        <f>INDEX(ListeMatières,8)</f>
        <v>Kraft paper shopping bags</v>
      </c>
      <c r="C20" s="58">
        <f>INDEX(tblMatières[Generated quantity  
(tonnes)],MATCH($B20,tblMatières[Material],0))</f>
        <v>2779.5329999999999</v>
      </c>
      <c r="D20" s="26">
        <f>INDEX(tblMatières[Recovered quantity  (tonnes)],MATCH($B20,tblMatières[Material],0))</f>
        <v>954.88002661803682</v>
      </c>
      <c r="E20" s="26">
        <f t="shared" si="5"/>
        <v>1824.652973381963</v>
      </c>
      <c r="F20" s="48">
        <f>INDEX(tblMatières[Reported quantity (tonnes)],MATCH($B20,tblMatières[Material],0))</f>
        <v>2779.5329999999999</v>
      </c>
      <c r="G20" s="75">
        <f t="shared" si="6"/>
        <v>8.8733478297628628E-3</v>
      </c>
      <c r="H20" s="303">
        <f t="shared" si="7"/>
        <v>373289.52366623626</v>
      </c>
      <c r="J20" s="461"/>
    </row>
    <row r="21" spans="1:10">
      <c r="A21" s="46"/>
      <c r="B21" s="37" t="str">
        <f>INDEX(ListeMatières,9)</f>
        <v>Kraft paper packaging</v>
      </c>
      <c r="C21" s="58">
        <f>INDEX(tblMatières[Generated quantity  
(tonnes)],MATCH($B21,tblMatières[Material],0))</f>
        <v>311.67700000000002</v>
      </c>
      <c r="D21" s="26">
        <f>INDEX(tblMatières[Recovered quantity  (tonnes)],MATCH($B21,tblMatières[Material],0))</f>
        <v>99.135800518476543</v>
      </c>
      <c r="E21" s="26">
        <f t="shared" si="5"/>
        <v>212.54119948152348</v>
      </c>
      <c r="F21" s="48">
        <f>INDEX(tblMatières[Reported quantity (tonnes)],MATCH($B21,tblMatières[Material],0))</f>
        <v>311.67700000000002</v>
      </c>
      <c r="G21" s="75">
        <f t="shared" si="6"/>
        <v>1.0335948910104218E-3</v>
      </c>
      <c r="H21" s="303">
        <f t="shared" si="7"/>
        <v>43481.913696089934</v>
      </c>
      <c r="J21" s="461"/>
    </row>
    <row r="22" spans="1:10">
      <c r="A22" s="46"/>
      <c r="B22" s="37" t="str">
        <f>INDEX(ListeMatières,10)</f>
        <v>Boxboard / Other paper packaging</v>
      </c>
      <c r="C22" s="58">
        <f>INDEX(tblMatières[Generated quantity  
(tonnes)],MATCH($B22,tblMatières[Material],0))</f>
        <v>87558.263999999996</v>
      </c>
      <c r="D22" s="26">
        <f>INDEX(tblMatières[Recovered quantity  (tonnes)],MATCH($B22,tblMatières[Material],0))</f>
        <v>49381.170834612974</v>
      </c>
      <c r="E22" s="26">
        <f t="shared" si="5"/>
        <v>38177.093165387021</v>
      </c>
      <c r="F22" s="48">
        <f>INDEX(tblMatières[Reported quantity (tonnes)],MATCH($B22,tblMatières[Material],0))</f>
        <v>87558.263999999996</v>
      </c>
      <c r="G22" s="75">
        <f t="shared" si="6"/>
        <v>0.18565646823124854</v>
      </c>
      <c r="H22" s="303">
        <f t="shared" si="7"/>
        <v>7810311.9500332493</v>
      </c>
      <c r="J22" s="461"/>
    </row>
    <row r="23" spans="1:10">
      <c r="A23" s="46"/>
      <c r="B23" s="37" t="str">
        <f>INDEX(ListeMatières,11)</f>
        <v>Gable-top containers</v>
      </c>
      <c r="C23" s="58">
        <f>INDEX(tblMatières[Generated quantity  
(tonnes)],MATCH($B23,tblMatières[Material],0))</f>
        <v>12195.59</v>
      </c>
      <c r="D23" s="26">
        <f>INDEX(tblMatières[Recovered quantity  (tonnes)],MATCH($B23,tblMatières[Material],0))</f>
        <v>8372.4597512227556</v>
      </c>
      <c r="E23" s="26">
        <f t="shared" si="5"/>
        <v>3823.1302487772446</v>
      </c>
      <c r="F23" s="48">
        <f>INDEX(tblMatières[Reported quantity (tonnes)],MATCH($B23,tblMatières[Material],0))</f>
        <v>12195.59</v>
      </c>
      <c r="G23" s="75">
        <f t="shared" si="6"/>
        <v>1.8592008996105618E-2</v>
      </c>
      <c r="H23" s="303">
        <f t="shared" si="7"/>
        <v>782140.21531714487</v>
      </c>
      <c r="J23" s="461"/>
    </row>
    <row r="24" spans="1:10">
      <c r="A24" s="46"/>
      <c r="B24" s="37" t="str">
        <f>INDEX(ListeMatières,12)</f>
        <v>Paper laminants</v>
      </c>
      <c r="C24" s="58">
        <f>INDEX(tblMatières[Generated quantity  
(tonnes)],MATCH($B24,tblMatières[Material],0))</f>
        <v>12555.716</v>
      </c>
      <c r="D24" s="26">
        <f>INDEX(tblMatières[Recovered quantity  (tonnes)],MATCH($B24,tblMatières[Material],0))</f>
        <v>3392.0864248591306</v>
      </c>
      <c r="E24" s="26">
        <f t="shared" si="5"/>
        <v>9163.6295751408688</v>
      </c>
      <c r="F24" s="48">
        <f>INDEX(tblMatières[Reported quantity (tonnes)],MATCH($B24,tblMatières[Material],0))</f>
        <v>12555.716</v>
      </c>
      <c r="G24" s="75">
        <f t="shared" si="6"/>
        <v>4.4563034061548969E-2</v>
      </c>
      <c r="H24" s="303">
        <f t="shared" si="7"/>
        <v>1874705.4749912175</v>
      </c>
      <c r="J24" s="461"/>
    </row>
    <row r="25" spans="1:10">
      <c r="A25" s="46"/>
      <c r="B25" s="37" t="str">
        <f>INDEX(ListeMatières,13)</f>
        <v>Aseptic containers</v>
      </c>
      <c r="C25" s="58">
        <f>INDEX(tblMatières[Generated quantity  
(tonnes)],MATCH($B25,tblMatières[Material],0))</f>
        <v>6206.1570000000002</v>
      </c>
      <c r="D25" s="26">
        <f>INDEX(tblMatières[Recovered quantity  (tonnes)],MATCH($B25,tblMatières[Material],0))</f>
        <v>3243.9021752935305</v>
      </c>
      <c r="E25" s="26">
        <f t="shared" si="5"/>
        <v>2962.2548247064697</v>
      </c>
      <c r="F25" s="48">
        <f>INDEX(tblMatières[Reported quantity (tonnes)],MATCH($B25,tblMatières[Material],0))</f>
        <v>6206.1570000000002</v>
      </c>
      <c r="G25" s="75">
        <f t="shared" si="6"/>
        <v>1.440554330245861E-2</v>
      </c>
      <c r="H25" s="303">
        <f t="shared" si="7"/>
        <v>606021.36878836004</v>
      </c>
      <c r="J25" s="461"/>
    </row>
    <row r="26" spans="1:10">
      <c r="A26" s="43" t="str">
        <f>'Executive Summary'!$A25</f>
        <v>TOTAL - Paperboard</v>
      </c>
      <c r="B26" s="10"/>
      <c r="C26" s="60">
        <f t="shared" ref="C26:E26" si="8">SUBTOTAL(9,C19:C25)</f>
        <v>178777.73300000001</v>
      </c>
      <c r="D26" s="22">
        <f t="shared" si="8"/>
        <v>105979.32853638267</v>
      </c>
      <c r="E26" s="22">
        <f t="shared" si="8"/>
        <v>72798.404463617306</v>
      </c>
      <c r="F26" s="29">
        <f>SUBTOTAL(9,F19:F25)</f>
        <v>178777.73300000001</v>
      </c>
      <c r="G26" s="87">
        <f t="shared" ref="G26:H26" si="9">SUBTOTAL(9,G19:G25)</f>
        <v>0.35402105149898827</v>
      </c>
      <c r="H26" s="305">
        <f t="shared" si="9"/>
        <v>14893178.112393359</v>
      </c>
    </row>
    <row r="27" spans="1:10">
      <c r="A27" s="46" t="str">
        <f>'Executive Summary'!$A26</f>
        <v>Plastic</v>
      </c>
      <c r="B27" s="37" t="str">
        <f>INDEX(ListeMatières,14)</f>
        <v>PET bottles</v>
      </c>
      <c r="C27" s="58">
        <f>INDEX(tblMatières[Generated quantity  
(tonnes)],MATCH($B27,tblMatières[Material],0))</f>
        <v>23176.743999999999</v>
      </c>
      <c r="D27" s="26">
        <f>INDEX(tblMatières[Recovered quantity  (tonnes)],MATCH($B27,tblMatières[Material],0))</f>
        <v>13623.907422425867</v>
      </c>
      <c r="E27" s="26">
        <f t="shared" ref="E27:E37" si="10">C27-D27</f>
        <v>9552.8365775741313</v>
      </c>
      <c r="F27" s="48">
        <f>INDEX(tblMatières[Reported quantity (tonnes)],MATCH($B27,tblMatières[Material],0))</f>
        <v>23176.743999999999</v>
      </c>
      <c r="G27" s="75">
        <f t="shared" ref="G27:G37" si="11">E27/$E$48</f>
        <v>4.6455760602294179E-2</v>
      </c>
      <c r="H27" s="303">
        <f t="shared" ref="H27:H37" si="12">G27*$H$54</f>
        <v>1954329.8740771376</v>
      </c>
      <c r="J27" s="461"/>
    </row>
    <row r="28" spans="1:10">
      <c r="A28" s="38"/>
      <c r="B28" s="37" t="str">
        <f>INDEX(ListeMatières,15)</f>
        <v>HDPE bottles</v>
      </c>
      <c r="C28" s="58">
        <f>INDEX(tblMatières[Generated quantity  
(tonnes)],MATCH($B28,tblMatières[Material],0))</f>
        <v>16609.435000000001</v>
      </c>
      <c r="D28" s="26">
        <f>INDEX(tblMatières[Recovered quantity  (tonnes)],MATCH($B28,tblMatières[Material],0))</f>
        <v>10319.634497317069</v>
      </c>
      <c r="E28" s="26">
        <f t="shared" si="10"/>
        <v>6289.8005026829323</v>
      </c>
      <c r="F28" s="48">
        <f>INDEX(tblMatières[Reported quantity (tonnes)],MATCH($B28,tblMatières[Material],0))</f>
        <v>16609.435000000001</v>
      </c>
      <c r="G28" s="75">
        <f t="shared" si="11"/>
        <v>3.0587508120339807E-2</v>
      </c>
      <c r="H28" s="303">
        <f t="shared" si="12"/>
        <v>1286774.3444115524</v>
      </c>
      <c r="J28" s="461"/>
    </row>
    <row r="29" spans="1:10">
      <c r="A29" s="38"/>
      <c r="B29" s="37" t="str">
        <f>INDEX(ListeMatières,16)</f>
        <v>Plastic laminants</v>
      </c>
      <c r="C29" s="58">
        <f>INDEX(tblMatières[Generated quantity  
(tonnes)],MATCH($B29,tblMatières[Material],0))</f>
        <v>12064.946</v>
      </c>
      <c r="D29" s="26">
        <f>INDEX(tblMatières[Recovered quantity  (tonnes)],MATCH($B29,tblMatières[Material],0))</f>
        <v>1618.7545506972476</v>
      </c>
      <c r="E29" s="26">
        <f t="shared" si="10"/>
        <v>10446.191449302753</v>
      </c>
      <c r="F29" s="48">
        <f>INDEX(tblMatières[Reported quantity (tonnes)],MATCH($B29,tblMatières[Material],0))</f>
        <v>12064.946</v>
      </c>
      <c r="G29" s="75">
        <f t="shared" si="11"/>
        <v>5.0800174925401648E-2</v>
      </c>
      <c r="H29" s="303">
        <f t="shared" si="12"/>
        <v>2137093.4019354726</v>
      </c>
      <c r="J29" s="461"/>
    </row>
    <row r="30" spans="1:10">
      <c r="A30" s="38"/>
      <c r="B30" s="37" t="str">
        <f>INDEX(ListeMatières,17)</f>
        <v>HDPE and LDPE plastic film</v>
      </c>
      <c r="C30" s="58">
        <f>INDEX(tblMatières[Generated quantity  
(tonnes)],MATCH($B30,tblMatières[Material],0))</f>
        <v>21920.366999999998</v>
      </c>
      <c r="D30" s="26">
        <f>INDEX(tblMatières[Recovered quantity  (tonnes)],MATCH($B30,tblMatières[Material],0))</f>
        <v>4791.0687245431354</v>
      </c>
      <c r="E30" s="26">
        <f t="shared" si="10"/>
        <v>17129.298275456862</v>
      </c>
      <c r="F30" s="48">
        <f>INDEX(tblMatières[Reported quantity (tonnes)],MATCH($B30,tblMatières[Material],0))</f>
        <v>21920.366999999998</v>
      </c>
      <c r="G30" s="75">
        <f t="shared" si="11"/>
        <v>8.3300344720435918E-2</v>
      </c>
      <c r="H30" s="303">
        <f t="shared" si="12"/>
        <v>3504330.7890654174</v>
      </c>
      <c r="J30" s="461"/>
    </row>
    <row r="31" spans="1:10">
      <c r="A31" s="38"/>
      <c r="B31" s="37" t="str">
        <f>INDEX(ListeMatières,18)</f>
        <v>HDPE and LDPE plastic shopping bags</v>
      </c>
      <c r="C31" s="58">
        <f>INDEX(tblMatières[Generated quantity  
(tonnes)],MATCH($B31,tblMatières[Material],0))</f>
        <v>9207.6</v>
      </c>
      <c r="D31" s="26">
        <f>INDEX(tblMatières[Recovered quantity  (tonnes)],MATCH($B31,tblMatières[Material],0))</f>
        <v>1211.2228001806236</v>
      </c>
      <c r="E31" s="26">
        <f t="shared" si="10"/>
        <v>7996.377199819377</v>
      </c>
      <c r="F31" s="48">
        <f>INDEX(tblMatières[Reported quantity (tonnes)],MATCH($B31,tblMatières[Material],0))</f>
        <v>9207.6</v>
      </c>
      <c r="G31" s="75">
        <f t="shared" si="11"/>
        <v>3.8886647108830406E-2</v>
      </c>
      <c r="H31" s="303">
        <f t="shared" si="12"/>
        <v>1635907.6928713454</v>
      </c>
      <c r="J31" s="461"/>
    </row>
    <row r="32" spans="1:10">
      <c r="A32" s="38"/>
      <c r="B32" s="37" t="str">
        <f>INDEX(ListeMatières,19)</f>
        <v>Expanded polystyrene food</v>
      </c>
      <c r="C32" s="58">
        <f>INDEX(tblMatières[Generated quantity  
(tonnes)],MATCH($B32,tblMatières[Material],0))</f>
        <v>4326.0749999999998</v>
      </c>
      <c r="D32" s="26">
        <f>INDEX(tblMatières[Recovered quantity  (tonnes)],MATCH($B32,tblMatières[Material],0))</f>
        <v>310.34995403285171</v>
      </c>
      <c r="E32" s="26">
        <f t="shared" si="10"/>
        <v>4015.7250459671482</v>
      </c>
      <c r="F32" s="48">
        <f>INDEX(tblMatières[Reported quantity (tonnes)],MATCH($B32,tblMatières[Material],0))</f>
        <v>4326.0749999999998</v>
      </c>
      <c r="G32" s="75">
        <f t="shared" si="11"/>
        <v>1.9528603872281509E-2</v>
      </c>
      <c r="H32" s="303">
        <f t="shared" si="12"/>
        <v>821541.47196835396</v>
      </c>
      <c r="J32" s="461"/>
    </row>
    <row r="33" spans="1:10">
      <c r="A33" s="265"/>
      <c r="B33" s="37" t="str">
        <f>INDEX(ListeMatières,20)</f>
        <v>Expanded polystyrene protection</v>
      </c>
      <c r="C33" s="58">
        <f>INDEX(tblMatières[Generated quantity  
(tonnes)],MATCH($B33,tblMatières[Material],0))</f>
        <v>1850.1969999999999</v>
      </c>
      <c r="D33" s="26">
        <f>INDEX(tblMatières[Recovered quantity  (tonnes)],MATCH($B33,tblMatières[Material],0))</f>
        <v>606.7541775293505</v>
      </c>
      <c r="E33" s="26">
        <f>C33-D33</f>
        <v>1243.4428224706494</v>
      </c>
      <c r="F33" s="48">
        <f>INDEX(tblMatières[Reported quantity (tonnes)],MATCH($B33,tblMatières[Material],0))</f>
        <v>1850.1969999999999</v>
      </c>
      <c r="G33" s="75">
        <f t="shared" si="11"/>
        <v>6.0469036201189217E-3</v>
      </c>
      <c r="H33" s="303">
        <f t="shared" si="12"/>
        <v>254384.9080770404</v>
      </c>
      <c r="J33" s="461"/>
    </row>
    <row r="34" spans="1:10">
      <c r="A34" s="38"/>
      <c r="B34" s="37" t="str">
        <f>INDEX(ListeMatières,21)</f>
        <v>Non-expanded polystyrene</v>
      </c>
      <c r="C34" s="58">
        <f>INDEX(tblMatières[Generated quantity  
(tonnes)],MATCH($B34,tblMatières[Material],0))</f>
        <v>5060.2809999999999</v>
      </c>
      <c r="D34" s="26">
        <f>INDEX(tblMatières[Recovered quantity  (tonnes)],MATCH($B34,tblMatières[Material],0))</f>
        <v>1589.2978514450424</v>
      </c>
      <c r="E34" s="26">
        <f t="shared" si="10"/>
        <v>3470.9831485549576</v>
      </c>
      <c r="F34" s="48">
        <f>INDEX(tblMatières[Reported quantity (tonnes)],MATCH($B34,tblMatières[Material],0))</f>
        <v>5060.2809999999999</v>
      </c>
      <c r="G34" s="75">
        <f t="shared" si="11"/>
        <v>1.6879505986986523E-2</v>
      </c>
      <c r="H34" s="303">
        <f t="shared" si="12"/>
        <v>710097.57202000415</v>
      </c>
      <c r="J34" s="461"/>
    </row>
    <row r="35" spans="1:10">
      <c r="A35" s="38"/>
      <c r="B35" s="37" t="str">
        <f>INDEX(ListeMatières,22)</f>
        <v>PET containers</v>
      </c>
      <c r="C35" s="58">
        <f>INDEX(tblMatières[Generated quantity  
(tonnes)],MATCH($B35,tblMatières[Material],0))</f>
        <v>7067.826</v>
      </c>
      <c r="D35" s="26">
        <f>INDEX(tblMatières[Recovered quantity  (tonnes)],MATCH($B35,tblMatières[Material],0))</f>
        <v>3446.1724346558049</v>
      </c>
      <c r="E35" s="26">
        <f t="shared" si="10"/>
        <v>3621.6535653441952</v>
      </c>
      <c r="F35" s="48">
        <f>INDEX(tblMatières[Reported quantity (tonnes)],MATCH($B35,tblMatières[Material],0))</f>
        <v>7067.826</v>
      </c>
      <c r="G35" s="75">
        <f t="shared" si="11"/>
        <v>1.7612221213021109E-2</v>
      </c>
      <c r="H35" s="303">
        <f t="shared" si="12"/>
        <v>740921.89255345927</v>
      </c>
      <c r="J35" s="461"/>
    </row>
    <row r="36" spans="1:10">
      <c r="A36" s="38"/>
      <c r="B36" s="37" t="str">
        <f>INDEX(ListeMatières,23)</f>
        <v>Polylactic acid (PLA) and other degradable plastics</v>
      </c>
      <c r="C36" s="58">
        <f>INDEX(tblMatières[Generated quantity  
(tonnes)],MATCH($B36,tblMatières[Material],0))</f>
        <v>88.733999999999995</v>
      </c>
      <c r="D36" s="26">
        <f>INDEX(tblMatières[Recovered quantity  (tonnes)],MATCH($B36,tblMatières[Material],0))</f>
        <v>18.258565640010666</v>
      </c>
      <c r="E36" s="26">
        <f t="shared" si="10"/>
        <v>70.475434359989322</v>
      </c>
      <c r="F36" s="48">
        <f>INDEX(tblMatières[Reported quantity (tonnes)],MATCH($B36,tblMatières[Material],0))</f>
        <v>88.733999999999995</v>
      </c>
      <c r="G36" s="75">
        <f t="shared" si="11"/>
        <v>3.4272437096393473E-4</v>
      </c>
      <c r="H36" s="303">
        <f t="shared" si="12"/>
        <v>14417.942318999196</v>
      </c>
      <c r="J36" s="461"/>
    </row>
    <row r="37" spans="1:10">
      <c r="A37" s="38"/>
      <c r="B37" s="37" t="str">
        <f>INDEX(ListeMatières,24)</f>
        <v>Other plastics, polymers and polyurethane</v>
      </c>
      <c r="C37" s="58">
        <f>INDEX(tblMatières[Generated quantity  
(tonnes)],MATCH($B37,tblMatières[Material],0))</f>
        <v>33319.733</v>
      </c>
      <c r="D37" s="26">
        <f>INDEX(tblMatières[Recovered quantity  (tonnes)],MATCH($B37,tblMatières[Material],0))</f>
        <v>12129.950450506696</v>
      </c>
      <c r="E37" s="26">
        <f t="shared" si="10"/>
        <v>21189.782549493306</v>
      </c>
      <c r="F37" s="48">
        <f>INDEX(tblMatières[Reported quantity (tonnes)],MATCH($B37,tblMatières[Material],0))</f>
        <v>33319.733</v>
      </c>
      <c r="G37" s="75">
        <f t="shared" si="11"/>
        <v>0.10304661420094233</v>
      </c>
      <c r="H37" s="303">
        <f t="shared" si="12"/>
        <v>4335029.1534233894</v>
      </c>
      <c r="J37" s="461"/>
    </row>
    <row r="38" spans="1:10">
      <c r="A38" s="43" t="str">
        <f>'Executive Summary'!$A37</f>
        <v>TOTAL - Plastic</v>
      </c>
      <c r="B38" s="10"/>
      <c r="C38" s="61">
        <f t="shared" ref="C38:E38" si="13">SUBTOTAL(9,C27:C37)</f>
        <v>134691.93799999999</v>
      </c>
      <c r="D38" s="24">
        <f t="shared" si="13"/>
        <v>49665.371428973704</v>
      </c>
      <c r="E38" s="24">
        <f t="shared" si="13"/>
        <v>85026.566571026313</v>
      </c>
      <c r="F38" s="29">
        <f>SUBTOTAL(9,F27:F37)</f>
        <v>134691.93799999999</v>
      </c>
      <c r="G38" s="87">
        <f t="shared" ref="G38:H38" si="14">SUBTOTAL(9,G27:G37)</f>
        <v>0.41348700874161626</v>
      </c>
      <c r="H38" s="305">
        <f t="shared" si="14"/>
        <v>17394829.042722173</v>
      </c>
    </row>
    <row r="39" spans="1:10">
      <c r="A39" s="46" t="str">
        <f>'Executive Summary'!$A38</f>
        <v>Aluminium</v>
      </c>
      <c r="B39" s="37" t="str">
        <f>INDEX(ListeMatières,25)</f>
        <v>Aluminium containers for food and beverages</v>
      </c>
      <c r="C39" s="58">
        <f>INDEX(tblMatières[Generated quantity  
(tonnes)],MATCH($B39,tblMatières[Material],0))</f>
        <v>2927.57</v>
      </c>
      <c r="D39" s="26">
        <f>INDEX(tblMatières[Recovered quantity  (tonnes)],MATCH($B39,tblMatières[Material],0))</f>
        <v>1291.1594981629264</v>
      </c>
      <c r="E39" s="26">
        <f>C39-D39</f>
        <v>1636.4105018370738</v>
      </c>
      <c r="F39" s="48">
        <f>INDEX(tblMatières[Reported quantity (tonnes)],MATCH($B39,tblMatières[Material],0))</f>
        <v>2927.57</v>
      </c>
      <c r="G39" s="75">
        <f>E39/$E$48</f>
        <v>7.9579184573183633E-3</v>
      </c>
      <c r="H39" s="303">
        <f>G39*$H$54</f>
        <v>334778.67060988524</v>
      </c>
      <c r="J39" s="461"/>
    </row>
    <row r="40" spans="1:10">
      <c r="A40" s="46"/>
      <c r="B40" s="37" t="str">
        <f>INDEX(ListeMatières,26)</f>
        <v>Other aluminium containers and packaging</v>
      </c>
      <c r="C40" s="58">
        <f>INDEX(tblMatières[Generated quantity  
(tonnes)],MATCH($B40,tblMatières[Material],0))</f>
        <v>2080.9479999999999</v>
      </c>
      <c r="D40" s="26">
        <f>INDEX(tblMatières[Recovered quantity  (tonnes)],MATCH($B40,tblMatières[Material],0))</f>
        <v>222.40040322833309</v>
      </c>
      <c r="E40" s="26">
        <f>C40-D40</f>
        <v>1858.5475967716668</v>
      </c>
      <c r="F40" s="48">
        <f>INDEX(tblMatières[Reported quantity (tonnes)],MATCH($B40,tblMatières[Material],0))</f>
        <v>2080.9479999999999</v>
      </c>
      <c r="G40" s="75">
        <f>E40/$E$48</f>
        <v>9.0381785056684334E-3</v>
      </c>
      <c r="H40" s="303">
        <f>G40*$H$54</f>
        <v>380223.72321243148</v>
      </c>
      <c r="J40" s="461"/>
    </row>
    <row r="41" spans="1:10">
      <c r="A41" s="43" t="str">
        <f>'Executive Summary'!$A40</f>
        <v>TOTAL - Aluminium</v>
      </c>
      <c r="B41" s="10"/>
      <c r="C41" s="60">
        <f t="shared" ref="C41:E41" si="15">SUBTOTAL(9,C39:C40)</f>
        <v>5008.518</v>
      </c>
      <c r="D41" s="22">
        <f t="shared" si="15"/>
        <v>1513.5599013912595</v>
      </c>
      <c r="E41" s="22">
        <f t="shared" si="15"/>
        <v>3494.9580986087403</v>
      </c>
      <c r="F41" s="29">
        <f>SUBTOTAL(9,F39:F40)</f>
        <v>5008.518</v>
      </c>
      <c r="G41" s="87">
        <f t="shared" ref="G41:H41" si="16">SUBTOTAL(9,G39:G40)</f>
        <v>1.6996096962986797E-2</v>
      </c>
      <c r="H41" s="305">
        <f t="shared" si="16"/>
        <v>715002.39382231678</v>
      </c>
    </row>
    <row r="42" spans="1:10">
      <c r="A42" s="46" t="str">
        <f>'Executive Summary'!$A41</f>
        <v>Steel</v>
      </c>
      <c r="B42" s="37" t="str">
        <f>INDEX(ListeMatières,27)</f>
        <v>Steel aerosol containers</v>
      </c>
      <c r="C42" s="58">
        <f>INDEX(tblMatières[Generated quantity  
(tonnes)],MATCH($B42,tblMatières[Material],0))</f>
        <v>1674.4069999999999</v>
      </c>
      <c r="D42" s="26">
        <f>INDEX(tblMatières[Recovered quantity  (tonnes)],MATCH($B42,tblMatières[Material],0))</f>
        <v>310.16626167182272</v>
      </c>
      <c r="E42" s="26">
        <f>C42-D42</f>
        <v>1364.2407383281773</v>
      </c>
      <c r="F42" s="48">
        <f>INDEX(tblMatières[Reported quantity (tonnes)],MATCH($B42,tblMatières[Material],0))</f>
        <v>1674.4069999999999</v>
      </c>
      <c r="G42" s="75">
        <f>E42/$E$48</f>
        <v>6.6343478849467466E-3</v>
      </c>
      <c r="H42" s="303">
        <f>G42*$H$54</f>
        <v>279097.87932589784</v>
      </c>
      <c r="J42" s="461"/>
    </row>
    <row r="43" spans="1:10">
      <c r="A43" s="46"/>
      <c r="B43" s="37" t="str">
        <f>INDEX(ListeMatières,28)</f>
        <v>Other steel containers</v>
      </c>
      <c r="C43" s="58">
        <f>INDEX(tblMatières[Generated quantity  
(tonnes)],MATCH($B43,tblMatières[Material],0))</f>
        <v>26909.557000000001</v>
      </c>
      <c r="D43" s="26">
        <f>INDEX(tblMatières[Recovered quantity  (tonnes)],MATCH($B43,tblMatières[Material],0))</f>
        <v>15062.447967705493</v>
      </c>
      <c r="E43" s="26">
        <f>C43-D43</f>
        <v>11847.109032294507</v>
      </c>
      <c r="F43" s="48">
        <f>INDEX(tblMatières[Reported quantity (tonnes)],MATCH($B43,tblMatières[Material],0))</f>
        <v>26909.557000000001</v>
      </c>
      <c r="G43" s="75">
        <f>E43/$E$48</f>
        <v>5.7612883520437232E-2</v>
      </c>
      <c r="H43" s="303">
        <f>G43*$H$54</f>
        <v>2423694.6707133777</v>
      </c>
      <c r="J43" s="461"/>
    </row>
    <row r="44" spans="1:10">
      <c r="A44" s="43" t="str">
        <f>'Executive Summary'!$A43</f>
        <v>TOTAL - Steel</v>
      </c>
      <c r="B44" s="10"/>
      <c r="C44" s="60">
        <f t="shared" ref="C44:E44" si="17">SUBTOTAL(9,C42:C43)</f>
        <v>28583.964</v>
      </c>
      <c r="D44" s="22">
        <f t="shared" si="17"/>
        <v>15372.614229377315</v>
      </c>
      <c r="E44" s="22">
        <f t="shared" si="17"/>
        <v>13211.349770622684</v>
      </c>
      <c r="F44" s="29">
        <f>SUBTOTAL(9,F42:F43)</f>
        <v>28583.964</v>
      </c>
      <c r="G44" s="87">
        <f t="shared" ref="G44:H44" si="18">SUBTOTAL(9,G42:G43)</f>
        <v>6.4247231405383978E-2</v>
      </c>
      <c r="H44" s="305">
        <f t="shared" si="18"/>
        <v>2702792.5500392755</v>
      </c>
    </row>
    <row r="45" spans="1:10">
      <c r="A45" s="46" t="str">
        <f>'Executive Summary'!$A44</f>
        <v>Glass</v>
      </c>
      <c r="B45" s="37" t="str">
        <f>INDEX(ListeMatières,29)</f>
        <v>Clear glass</v>
      </c>
      <c r="C45" s="58">
        <f>INDEX(tblMatières[Generated quantity  
(tonnes)],MATCH($B45,tblMatières[Material],0))</f>
        <v>54262.898999999998</v>
      </c>
      <c r="D45" s="26">
        <f>INDEX(tblMatières[Recovered quantity  (tonnes)],MATCH($B45,tblMatières[Material],0))</f>
        <v>41916.035629230697</v>
      </c>
      <c r="E45" s="26">
        <f>C45-D45</f>
        <v>12346.863370769301</v>
      </c>
      <c r="F45" s="48">
        <f>INDEX(tblMatières[Reported quantity (tonnes)],MATCH($B45,tblMatières[Material],0))</f>
        <v>54262.898999999998</v>
      </c>
      <c r="G45" s="75">
        <f>E45/$E$48</f>
        <v>6.0043205416934961E-2</v>
      </c>
      <c r="H45" s="303">
        <f>G45*$H$54</f>
        <v>2525934.9660905404</v>
      </c>
      <c r="J45" s="461"/>
    </row>
    <row r="46" spans="1:10">
      <c r="A46" s="19"/>
      <c r="B46" s="242" t="str">
        <f>INDEX(ListeMatières,30)</f>
        <v>Coloured glass</v>
      </c>
      <c r="C46" s="58">
        <f>INDEX(tblMatières[Generated quantity  
(tonnes)],MATCH($B46,tblMatières[Material],0))</f>
        <v>82425.142000000007</v>
      </c>
      <c r="D46" s="26">
        <f>INDEX(tblMatières[Recovered quantity  (tonnes)],MATCH($B46,tblMatières[Material],0))</f>
        <v>63670.302407108764</v>
      </c>
      <c r="E46" s="26">
        <f>C46-D46</f>
        <v>18754.839592891243</v>
      </c>
      <c r="F46" s="48">
        <f>INDEX(tblMatières[Reported quantity (tonnes)],MATCH($B46,tblMatières[Material],0))</f>
        <v>82425.142000000007</v>
      </c>
      <c r="G46" s="75">
        <f>E46/$E$48</f>
        <v>9.1205405974089881E-2</v>
      </c>
      <c r="H46" s="303">
        <f>G46*$H$54</f>
        <v>3836885.829907062</v>
      </c>
      <c r="J46" s="461"/>
    </row>
    <row r="47" spans="1:10">
      <c r="A47" s="43" t="str">
        <f>'Executive Summary'!$A46</f>
        <v>TOTAL - Glass</v>
      </c>
      <c r="B47" s="10"/>
      <c r="C47" s="60">
        <f t="shared" ref="C47:E47" si="19">SUBTOTAL(9,C45:C46)</f>
        <v>136688.041</v>
      </c>
      <c r="D47" s="22">
        <f t="shared" si="19"/>
        <v>105586.33803633947</v>
      </c>
      <c r="E47" s="22">
        <f t="shared" si="19"/>
        <v>31101.702963660544</v>
      </c>
      <c r="F47" s="29">
        <f>SUBTOTAL(9,F45:F46)</f>
        <v>136688.041</v>
      </c>
      <c r="G47" s="87">
        <f t="shared" ref="G47:H47" si="20">SUBTOTAL(9,G45:G46)</f>
        <v>0.15124861139102486</v>
      </c>
      <c r="H47" s="305">
        <f t="shared" si="20"/>
        <v>6362820.7959976029</v>
      </c>
    </row>
    <row r="48" spans="1:10" ht="15.75" thickBot="1">
      <c r="A48" s="56" t="str">
        <f>'Executive Summary'!$A47</f>
        <v>TOTAL - CONTAINERS AND PACKAGING</v>
      </c>
      <c r="B48" s="23"/>
      <c r="C48" s="147">
        <f t="shared" ref="C48:E48" si="21">SUBTOTAL(9,C19:C47)</f>
        <v>483750.19400000002</v>
      </c>
      <c r="D48" s="27">
        <f t="shared" si="21"/>
        <v>278117.2121324644</v>
      </c>
      <c r="E48" s="27">
        <f t="shared" si="21"/>
        <v>205632.98186753556</v>
      </c>
      <c r="F48" s="148">
        <f>SUBTOTAL(9,F19:F47)</f>
        <v>483750.19400000002</v>
      </c>
      <c r="G48" s="90">
        <f t="shared" ref="G48:H48" si="22">SUBTOTAL(9,G19:G47)</f>
        <v>1.0000000000000002</v>
      </c>
      <c r="H48" s="304">
        <f t="shared" si="22"/>
        <v>42068622.894974716</v>
      </c>
    </row>
    <row r="49" spans="1:8">
      <c r="A49" s="38"/>
      <c r="B49" s="35"/>
      <c r="C49" s="38"/>
      <c r="D49" s="35"/>
      <c r="E49" s="35"/>
      <c r="F49" s="39"/>
      <c r="G49" s="67"/>
      <c r="H49" s="302"/>
    </row>
    <row r="50" spans="1:8" ht="15.75" thickBot="1">
      <c r="A50" s="57" t="str">
        <f>'Executive Summary'!$A49</f>
        <v>TOTAL</v>
      </c>
      <c r="B50" s="14"/>
      <c r="C50" s="62">
        <f t="shared" ref="C50:E50" si="23">SUBTOTAL(9,C10:C48)</f>
        <v>644994.44999999995</v>
      </c>
      <c r="D50" s="25">
        <f t="shared" si="23"/>
        <v>406590.86812763795</v>
      </c>
      <c r="E50" s="25">
        <f t="shared" si="23"/>
        <v>238403.58187236209</v>
      </c>
      <c r="F50" s="31">
        <f>SUBTOTAL(9,F10:F48)</f>
        <v>644994.44999999995</v>
      </c>
      <c r="G50" s="153"/>
      <c r="H50" s="308">
        <f>SUBTOTAL(9,H10:H48)</f>
        <v>53419544.788750924</v>
      </c>
    </row>
    <row r="51" spans="1:8" ht="15.75" thickTop="1">
      <c r="A51" s="38"/>
      <c r="B51" s="35"/>
      <c r="G51" s="37"/>
      <c r="H51" s="310"/>
    </row>
    <row r="52" spans="1:8">
      <c r="A52" s="42" t="s">
        <v>160</v>
      </c>
      <c r="B52" s="97"/>
      <c r="C52" s="96"/>
      <c r="D52" s="96"/>
      <c r="E52" s="96"/>
      <c r="F52" s="96"/>
      <c r="G52" s="96"/>
      <c r="H52" s="311"/>
    </row>
    <row r="53" spans="1:8">
      <c r="A53" s="100" t="str">
        <f>'Net Costs'!B48</f>
        <v>Printed matter</v>
      </c>
      <c r="B53" s="98"/>
      <c r="C53" s="95"/>
      <c r="D53" s="95"/>
      <c r="E53" s="95"/>
      <c r="F53" s="95"/>
      <c r="G53" s="95"/>
      <c r="H53" s="312">
        <f>'Net Costs'!$G48*$G$8</f>
        <v>11350921.893776212</v>
      </c>
    </row>
    <row r="54" spans="1:8">
      <c r="A54" s="101" t="str">
        <f>'Net Costs'!B49</f>
        <v>Containers and packaging</v>
      </c>
      <c r="B54" s="49"/>
      <c r="C54" s="54"/>
      <c r="D54" s="54"/>
      <c r="E54" s="54"/>
      <c r="F54" s="54"/>
      <c r="G54" s="54"/>
      <c r="H54" s="313">
        <f>'Net Costs'!$G49*$G$8</f>
        <v>42068622.894974723</v>
      </c>
    </row>
  </sheetData>
  <sheetProtection password="82A0" sheet="1" objects="1" scenarios="1"/>
  <mergeCells count="2">
    <mergeCell ref="G6:H6"/>
    <mergeCell ref="C6:F6"/>
  </mergeCells>
  <pageMargins left="0.7" right="0.7" top="0.75" bottom="0.75" header="0.3" footer="0.3"/>
  <pageSetup scale="55" fitToHeight="0" orientation="landscape" r:id="rId1"/>
  <ignoredErrors>
    <ignoredError sqref="C34:H37 C27:H32 C39:H40 C42:H43" formula="1"/>
  </ignoredErrors>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FFC000"/>
    <pageSetUpPr fitToPage="1"/>
  </sheetPr>
  <dimension ref="A1:J54"/>
  <sheetViews>
    <sheetView showGridLines="0" zoomScale="80" zoomScaleNormal="80" zoomScaleSheetLayoutView="70" workbookViewId="0">
      <pane xSplit="2" ySplit="9" topLeftCell="C10" activePane="bottomRight" state="frozen"/>
      <selection pane="topRight" activeCell="C1" sqref="C1"/>
      <selection pane="bottomLeft" activeCell="A10" sqref="A10"/>
      <selection pane="bottomRight" activeCell="B8" sqref="B8"/>
    </sheetView>
  </sheetViews>
  <sheetFormatPr baseColWidth="10" defaultColWidth="9.140625" defaultRowHeight="15"/>
  <cols>
    <col min="1" max="1" width="29.28515625" customWidth="1"/>
    <col min="2" max="2" width="52.140625" bestFit="1" customWidth="1"/>
    <col min="3" max="3" width="16.85546875" customWidth="1"/>
    <col min="4" max="4" width="16.42578125" customWidth="1"/>
    <col min="5" max="5" width="12.85546875" bestFit="1" customWidth="1"/>
    <col min="6" max="6" width="16.140625" bestFit="1" customWidth="1"/>
    <col min="7" max="7" width="12.7109375" bestFit="1" customWidth="1"/>
    <col min="8" max="8" width="19" bestFit="1" customWidth="1"/>
    <col min="9" max="9" width="15.7109375" bestFit="1" customWidth="1"/>
    <col min="10" max="10" width="17.7109375" bestFit="1" customWidth="1"/>
  </cols>
  <sheetData>
    <row r="1" spans="1:10" s="159" customFormat="1" ht="15.75" thickBot="1">
      <c r="A1" s="4" t="s">
        <v>161</v>
      </c>
      <c r="B1" s="36"/>
    </row>
    <row r="2" spans="1:10" ht="6.75" customHeight="1" thickBot="1">
      <c r="A2" s="35"/>
      <c r="B2" s="35"/>
    </row>
    <row r="3" spans="1:10" ht="18.75" thickBot="1">
      <c r="A3" s="93" t="str">
        <f>Parameters!B4</f>
        <v>Schedule</v>
      </c>
      <c r="B3" s="245">
        <f>AnnéeTarif</f>
        <v>2015</v>
      </c>
    </row>
    <row r="4" spans="1:10" ht="18.75" thickBot="1">
      <c r="A4" s="93" t="str">
        <f>Parameters!B5</f>
        <v>Scenario</v>
      </c>
      <c r="B4" s="245" t="str">
        <f>Parameters!C5</f>
        <v>Final July 2016</v>
      </c>
    </row>
    <row r="5" spans="1:10" ht="18.75" thickBot="1">
      <c r="A5" s="93" t="str">
        <f>Parameters!B6</f>
        <v>Reference Year</v>
      </c>
      <c r="B5" s="94">
        <f>AnnéeRéf</f>
        <v>2014</v>
      </c>
    </row>
    <row r="6" spans="1:10" ht="15.75" customHeight="1">
      <c r="A6" s="105"/>
      <c r="B6" s="105"/>
      <c r="C6" s="658"/>
      <c r="D6" s="659"/>
      <c r="E6" s="640" t="str">
        <f>A1</f>
        <v>Factor 2</v>
      </c>
      <c r="F6" s="641"/>
      <c r="G6" s="641"/>
      <c r="H6" s="641"/>
      <c r="I6" s="641"/>
      <c r="J6" s="641"/>
    </row>
    <row r="7" spans="1:10" ht="45.75" thickBot="1">
      <c r="A7" s="271" t="str">
        <f>'Factor 1'!A7</f>
        <v>CLASS</v>
      </c>
      <c r="B7" s="18" t="str">
        <f>'Factor 1'!B7</f>
        <v>Material</v>
      </c>
      <c r="C7" s="44" t="str">
        <f>'Factor 1'!D7</f>
        <v>Recovered quantity (t)</v>
      </c>
      <c r="D7" s="47" t="str">
        <f>'Factor 1'!F7</f>
        <v>Reported quantity
(t)</v>
      </c>
      <c r="E7" s="257" t="s">
        <v>163</v>
      </c>
      <c r="F7" s="170" t="s">
        <v>164</v>
      </c>
      <c r="G7" s="170" t="s">
        <v>165</v>
      </c>
      <c r="H7" s="170" t="s">
        <v>166</v>
      </c>
      <c r="I7" s="170" t="s">
        <v>158</v>
      </c>
      <c r="J7" s="170" t="s">
        <v>167</v>
      </c>
    </row>
    <row r="8" spans="1:10" ht="15.75" thickBot="1">
      <c r="A8" s="99"/>
      <c r="B8" s="171" t="s">
        <v>162</v>
      </c>
      <c r="C8" s="71"/>
      <c r="D8" s="72"/>
      <c r="E8" s="151">
        <v>0.4</v>
      </c>
      <c r="F8" s="152"/>
      <c r="G8" s="152"/>
      <c r="H8" s="152"/>
      <c r="I8" s="152"/>
      <c r="J8" s="152"/>
    </row>
    <row r="9" spans="1:10">
      <c r="A9" s="43" t="str">
        <f>'Factor 1'!A9</f>
        <v>PRINTED MATTER</v>
      </c>
      <c r="B9" s="45"/>
      <c r="C9" s="79"/>
      <c r="D9" s="103"/>
      <c r="E9" s="124"/>
      <c r="F9" s="125"/>
      <c r="G9" s="125"/>
      <c r="H9" s="125"/>
      <c r="I9" s="76"/>
      <c r="J9" s="111"/>
    </row>
    <row r="10" spans="1:10">
      <c r="A10" s="38"/>
      <c r="B10" s="37" t="str">
        <f>INDEX(ListeMatières,1)</f>
        <v>Newsprint inserts and circulars</v>
      </c>
      <c r="C10" s="26">
        <f>INDEX(tblMatières[Recovered quantity  (tonnes)],MATCH($B10,tblMatières[Material],0))</f>
        <v>85864.816326250861</v>
      </c>
      <c r="D10" s="48">
        <f>INDEX(tblMatières[Reported quantity (tonnes)],MATCH($B10,tblMatières[Material],0))</f>
        <v>100503.348</v>
      </c>
      <c r="E10" s="190">
        <f>INDEX(tblMatières[Gross cost],MATCH($B10,tblMatières[Material],0))</f>
        <v>169.72788477579965</v>
      </c>
      <c r="F10" s="199">
        <f>INDEX(tblMatières[Gross revenue],MATCH($B10,tblMatières[Material],0))</f>
        <v>75.332065206007883</v>
      </c>
      <c r="G10" s="199">
        <f t="shared" ref="G10:G15" si="0">E10-F10</f>
        <v>94.395819569791769</v>
      </c>
      <c r="H10" s="314">
        <f t="shared" ref="H10:H15" si="1">G10*C10</f>
        <v>8105279.7093260866</v>
      </c>
      <c r="I10" s="497">
        <f t="shared" ref="I10:I15" si="2">$H10/$H$16</f>
        <v>0.65990552088892873</v>
      </c>
      <c r="J10" s="314">
        <f t="shared" ref="J10:J15" si="3">I10*$J$53</f>
        <v>7490536.0248819366</v>
      </c>
    </row>
    <row r="11" spans="1:10">
      <c r="A11" s="38"/>
      <c r="B11" s="37" t="str">
        <f>INDEX(ListeMatières,2)</f>
        <v>Catalogues and publications</v>
      </c>
      <c r="C11" s="26">
        <f>INDEX(tblMatières[Recovered quantity  (tonnes)],MATCH($B11,tblMatières[Material],0))</f>
        <v>13561.464056479286</v>
      </c>
      <c r="D11" s="48">
        <f>INDEX(tblMatières[Reported quantity (tonnes)],MATCH($B11,tblMatières[Material],0))</f>
        <v>16909.731</v>
      </c>
      <c r="E11" s="191">
        <f>INDEX(tblMatières[Gross cost],MATCH($B11,tblMatières[Material],0))</f>
        <v>166.39290013808409</v>
      </c>
      <c r="F11" s="200">
        <f>INDEX(tblMatières[Gross revenue],MATCH($B11,tblMatières[Material],0))</f>
        <v>73.153008582348562</v>
      </c>
      <c r="G11" s="207">
        <f t="shared" si="0"/>
        <v>93.239891555735525</v>
      </c>
      <c r="H11" s="315">
        <f t="shared" si="1"/>
        <v>1264469.4379631339</v>
      </c>
      <c r="I11" s="498">
        <f t="shared" si="2"/>
        <v>0.10294899041510951</v>
      </c>
      <c r="J11" s="316">
        <f t="shared" si="3"/>
        <v>1168565.9492450238</v>
      </c>
    </row>
    <row r="12" spans="1:10">
      <c r="A12" s="38"/>
      <c r="B12" s="37" t="str">
        <f>INDEX(ListeMatières,3)</f>
        <v>Magazines</v>
      </c>
      <c r="C12" s="26">
        <f>INDEX(tblMatières[Recovered quantity  (tonnes)],MATCH($B12,tblMatières[Material],0))</f>
        <v>9110.2160408458858</v>
      </c>
      <c r="D12" s="48">
        <f>INDEX(tblMatières[Reported quantity (tonnes)],MATCH($B12,tblMatières[Material],0))</f>
        <v>10816.571</v>
      </c>
      <c r="E12" s="191">
        <f>INDEX(tblMatières[Gross cost],MATCH($B12,tblMatières[Material],0))</f>
        <v>164.35730748701044</v>
      </c>
      <c r="F12" s="200">
        <f>INDEX(tblMatières[Gross revenue],MATCH($B12,tblMatières[Material],0))</f>
        <v>73.567588697758424</v>
      </c>
      <c r="G12" s="200">
        <f t="shared" si="0"/>
        <v>90.789718789252021</v>
      </c>
      <c r="H12" s="316">
        <f t="shared" si="1"/>
        <v>827113.95245773089</v>
      </c>
      <c r="I12" s="498">
        <f t="shared" si="2"/>
        <v>6.7340928777953488E-2</v>
      </c>
      <c r="J12" s="316">
        <f t="shared" si="3"/>
        <v>764381.62281289685</v>
      </c>
    </row>
    <row r="13" spans="1:10">
      <c r="A13" s="38"/>
      <c r="B13" s="37" t="str">
        <f>INDEX(ListeMatières,4)</f>
        <v>Telephone books</v>
      </c>
      <c r="C13" s="26">
        <f>INDEX(tblMatières[Recovered quantity  (tonnes)],MATCH($B13,tblMatières[Material],0))</f>
        <v>1761.6059678635033</v>
      </c>
      <c r="D13" s="48">
        <f>INDEX(tblMatières[Reported quantity (tonnes)],MATCH($B13,tblMatières[Material],0))</f>
        <v>1956.9110000000001</v>
      </c>
      <c r="E13" s="191">
        <f>INDEX(tblMatières[Gross cost],MATCH($B13,tblMatières[Material],0))</f>
        <v>166.79364171278405</v>
      </c>
      <c r="F13" s="200">
        <f>INDEX(tblMatières[Gross revenue],MATCH($B13,tblMatières[Material],0))</f>
        <v>71.148817027272301</v>
      </c>
      <c r="G13" s="200">
        <f t="shared" si="0"/>
        <v>95.64482468551175</v>
      </c>
      <c r="H13" s="316">
        <f t="shared" si="1"/>
        <v>168488.49396125603</v>
      </c>
      <c r="I13" s="498">
        <f t="shared" si="2"/>
        <v>1.3717785364440974E-2</v>
      </c>
      <c r="J13" s="316">
        <f t="shared" si="3"/>
        <v>155709.51022735593</v>
      </c>
    </row>
    <row r="14" spans="1:10">
      <c r="A14" s="38"/>
      <c r="B14" s="37" t="str">
        <f>INDEX(ListeMatières,5)</f>
        <v>Paper for general use</v>
      </c>
      <c r="C14" s="26">
        <f>INDEX(tblMatières[Recovered quantity  (tonnes)],MATCH($B14,tblMatières[Material],0))</f>
        <v>2990.2667386915787</v>
      </c>
      <c r="D14" s="48">
        <f>INDEX(tblMatières[Reported quantity (tonnes)],MATCH($B14,tblMatières[Material],0))</f>
        <v>4514.6930000000002</v>
      </c>
      <c r="E14" s="191">
        <f>INDEX(tblMatières[Gross cost],MATCH($B14,tblMatières[Material],0))</f>
        <v>167.56600211042783</v>
      </c>
      <c r="F14" s="200">
        <f>INDEX(tblMatières[Gross revenue],MATCH($B14,tblMatières[Material],0))</f>
        <v>71.029789977591292</v>
      </c>
      <c r="G14" s="200">
        <f t="shared" si="0"/>
        <v>96.536212132836539</v>
      </c>
      <c r="H14" s="316">
        <f t="shared" si="1"/>
        <v>288669.02422009554</v>
      </c>
      <c r="I14" s="498">
        <f t="shared" si="2"/>
        <v>2.3502493389990557E-2</v>
      </c>
      <c r="J14" s="316">
        <f t="shared" si="3"/>
        <v>266774.96677877451</v>
      </c>
    </row>
    <row r="15" spans="1:10">
      <c r="A15" s="38"/>
      <c r="B15" s="37" t="str">
        <f>INDEX(ListeMatières,6)</f>
        <v>Other printed matter</v>
      </c>
      <c r="C15" s="26">
        <f>INDEX(tblMatières[Recovered quantity  (tonnes)],MATCH($B15,tblMatières[Material],0))</f>
        <v>15185.286865042328</v>
      </c>
      <c r="D15" s="48">
        <f>INDEX(tblMatières[Reported quantity (tonnes)],MATCH($B15,tblMatières[Material],0))</f>
        <v>26543.002</v>
      </c>
      <c r="E15" s="192">
        <f>INDEX(tblMatières[Gross cost],MATCH($B15,tblMatières[Material],0))</f>
        <v>172.77872783111425</v>
      </c>
      <c r="F15" s="201">
        <f>INDEX(tblMatières[Gross revenue],MATCH($B15,tblMatières[Material],0))</f>
        <v>65.539103801495926</v>
      </c>
      <c r="G15" s="201">
        <f t="shared" si="0"/>
        <v>107.23962402961833</v>
      </c>
      <c r="H15" s="317">
        <f t="shared" si="1"/>
        <v>1628464.4541890407</v>
      </c>
      <c r="I15" s="499">
        <f t="shared" si="2"/>
        <v>0.13258428116357679</v>
      </c>
      <c r="J15" s="317">
        <f t="shared" si="3"/>
        <v>1504953.8198302248</v>
      </c>
    </row>
    <row r="16" spans="1:10" ht="15.75" thickBot="1">
      <c r="A16" s="55" t="str">
        <f>'Factor 1'!A16</f>
        <v>TOTAL - PRINTED MATTER</v>
      </c>
      <c r="B16" s="50"/>
      <c r="C16" s="21">
        <f t="shared" ref="C16:D16" si="4">SUBTOTAL(9,C10:C15)</f>
        <v>128473.65599517347</v>
      </c>
      <c r="D16" s="28">
        <f t="shared" si="4"/>
        <v>161244.25599999999</v>
      </c>
      <c r="E16" s="193"/>
      <c r="F16" s="202"/>
      <c r="G16" s="202"/>
      <c r="H16" s="318">
        <f t="shared" ref="H16:J16" si="5">SUBTOTAL(9,H10:H15)</f>
        <v>12282485.072117344</v>
      </c>
      <c r="I16" s="463">
        <f t="shared" si="5"/>
        <v>1</v>
      </c>
      <c r="J16" s="304">
        <f t="shared" si="5"/>
        <v>11350921.893776212</v>
      </c>
    </row>
    <row r="17" spans="1:10">
      <c r="A17" s="38"/>
      <c r="B17" s="39"/>
      <c r="C17" s="35"/>
      <c r="D17" s="39"/>
      <c r="E17" s="194"/>
      <c r="F17" s="203"/>
      <c r="G17" s="203"/>
      <c r="H17" s="319"/>
      <c r="I17" s="80"/>
      <c r="J17" s="302"/>
    </row>
    <row r="18" spans="1:10">
      <c r="A18" s="43" t="str">
        <f>'Factor 1'!A18</f>
        <v>CONTAINERS AND PACKAGING</v>
      </c>
      <c r="B18" s="45"/>
      <c r="C18" s="11"/>
      <c r="D18" s="45"/>
      <c r="E18" s="195"/>
      <c r="F18" s="204"/>
      <c r="G18" s="204"/>
      <c r="H18" s="320"/>
      <c r="I18" s="79"/>
      <c r="J18" s="309"/>
    </row>
    <row r="19" spans="1:10">
      <c r="A19" s="46" t="str">
        <f>'Factor 1'!A19</f>
        <v>Paperboard</v>
      </c>
      <c r="B19" s="37" t="str">
        <f>INDEX(ListeMatières,7)</f>
        <v>Corrugated cardboard</v>
      </c>
      <c r="C19" s="26">
        <f>INDEX(tblMatières[Recovered quantity  (tonnes)],MATCH($B19,tblMatières[Material],0))</f>
        <v>40535.693523257782</v>
      </c>
      <c r="D19" s="48">
        <f>INDEX(tblMatières[Reported quantity (tonnes)],MATCH($B19,tblMatières[Material],0))</f>
        <v>57170.796000000002</v>
      </c>
      <c r="E19" s="190">
        <f>INDEX(tblMatières[Gross cost],MATCH($B19,tblMatières[Material],0))</f>
        <v>242.44432734821206</v>
      </c>
      <c r="F19" s="200">
        <f>INDEX(tblMatières[Gross revenue],MATCH($B19,tblMatières[Material],0))</f>
        <v>88.758193070403635</v>
      </c>
      <c r="G19" s="200">
        <f t="shared" ref="G19:G25" si="6">E19-F19</f>
        <v>153.68613427780843</v>
      </c>
      <c r="H19" s="316">
        <f t="shared" ref="H19:H25" si="7">G19*C19</f>
        <v>6229774.0378594855</v>
      </c>
      <c r="I19" s="498">
        <f t="shared" ref="I19:I25" si="8">$H19/$H$48</f>
        <v>0.12138630154068338</v>
      </c>
      <c r="J19" s="316">
        <f t="shared" ref="J19:J25" si="9">I19*$J$54</f>
        <v>5106554.5441306978</v>
      </c>
    </row>
    <row r="20" spans="1:10">
      <c r="A20" s="46"/>
      <c r="B20" s="37" t="str">
        <f>INDEX(ListeMatières,8)</f>
        <v>Kraft paper shopping bags</v>
      </c>
      <c r="C20" s="26">
        <f>INDEX(tblMatières[Recovered quantity  (tonnes)],MATCH($B20,tblMatières[Material],0))</f>
        <v>954.88002661803682</v>
      </c>
      <c r="D20" s="48">
        <f>INDEX(tblMatières[Reported quantity (tonnes)],MATCH($B20,tblMatières[Material],0))</f>
        <v>2779.5329999999999</v>
      </c>
      <c r="E20" s="191">
        <f>INDEX(tblMatières[Gross cost],MATCH($B20,tblMatières[Material],0))</f>
        <v>242.44432734821206</v>
      </c>
      <c r="F20" s="200">
        <f>INDEX(tblMatières[Gross revenue],MATCH($B20,tblMatières[Material],0))</f>
        <v>88.758193070403635</v>
      </c>
      <c r="G20" s="200">
        <f t="shared" si="6"/>
        <v>153.68613427780843</v>
      </c>
      <c r="H20" s="316">
        <f t="shared" si="7"/>
        <v>146751.8199900169</v>
      </c>
      <c r="I20" s="498">
        <f t="shared" si="8"/>
        <v>2.859439293415038E-3</v>
      </c>
      <c r="J20" s="316">
        <f t="shared" si="9"/>
        <v>120292.67332575022</v>
      </c>
    </row>
    <row r="21" spans="1:10">
      <c r="A21" s="46"/>
      <c r="B21" s="37" t="str">
        <f>INDEX(ListeMatières,9)</f>
        <v>Kraft paper packaging</v>
      </c>
      <c r="C21" s="26">
        <f>INDEX(tblMatières[Recovered quantity  (tonnes)],MATCH($B21,tblMatières[Material],0))</f>
        <v>99.135800518476543</v>
      </c>
      <c r="D21" s="48">
        <f>INDEX(tblMatières[Reported quantity (tonnes)],MATCH($B21,tblMatières[Material],0))</f>
        <v>311.67700000000002</v>
      </c>
      <c r="E21" s="191">
        <f>INDEX(tblMatières[Gross cost],MATCH($B21,tblMatières[Material],0))</f>
        <v>242.44432734821206</v>
      </c>
      <c r="F21" s="200">
        <f>INDEX(tblMatières[Gross revenue],MATCH($B21,tblMatières[Material],0))</f>
        <v>88.758193070403635</v>
      </c>
      <c r="G21" s="200">
        <f t="shared" si="6"/>
        <v>153.68613427780843</v>
      </c>
      <c r="H21" s="316">
        <f t="shared" si="7"/>
        <v>15235.797950220616</v>
      </c>
      <c r="I21" s="498">
        <f t="shared" si="8"/>
        <v>2.9686745505682168E-4</v>
      </c>
      <c r="J21" s="316">
        <f t="shared" si="9"/>
        <v>12488.805016576289</v>
      </c>
    </row>
    <row r="22" spans="1:10">
      <c r="A22" s="46"/>
      <c r="B22" s="37" t="str">
        <f>INDEX(ListeMatières,10)</f>
        <v>Boxboard / Other paper packaging</v>
      </c>
      <c r="C22" s="26">
        <f>INDEX(tblMatières[Recovered quantity  (tonnes)],MATCH($B22,tblMatières[Material],0))</f>
        <v>49381.170834612974</v>
      </c>
      <c r="D22" s="48">
        <f>INDEX(tblMatières[Reported quantity (tonnes)],MATCH($B22,tblMatières[Material],0))</f>
        <v>87558.263999999996</v>
      </c>
      <c r="E22" s="191">
        <f>INDEX(tblMatières[Gross cost],MATCH($B22,tblMatières[Material],0))</f>
        <v>222.89</v>
      </c>
      <c r="F22" s="200">
        <f>INDEX(tblMatières[Gross revenue],MATCH($B22,tblMatières[Material],0))</f>
        <v>73.59</v>
      </c>
      <c r="G22" s="200">
        <f t="shared" si="6"/>
        <v>149.29999999999998</v>
      </c>
      <c r="H22" s="316">
        <f t="shared" si="7"/>
        <v>7372608.8056077166</v>
      </c>
      <c r="I22" s="498">
        <f t="shared" si="8"/>
        <v>0.14365428186966631</v>
      </c>
      <c r="J22" s="316">
        <f t="shared" si="9"/>
        <v>6043337.8112233961</v>
      </c>
    </row>
    <row r="23" spans="1:10">
      <c r="A23" s="46"/>
      <c r="B23" s="37" t="str">
        <f>INDEX(ListeMatières,11)</f>
        <v>Gable-top containers</v>
      </c>
      <c r="C23" s="26">
        <f>INDEX(tblMatières[Recovered quantity  (tonnes)],MATCH($B23,tblMatières[Material],0))</f>
        <v>8372.4597512227556</v>
      </c>
      <c r="D23" s="48">
        <f>INDEX(tblMatières[Reported quantity (tonnes)],MATCH($B23,tblMatières[Material],0))</f>
        <v>12195.59</v>
      </c>
      <c r="E23" s="191">
        <f>INDEX(tblMatières[Gross cost],MATCH($B23,tblMatières[Material],0))</f>
        <v>253.66340713032608</v>
      </c>
      <c r="F23" s="200">
        <f>INDEX(tblMatières[Gross revenue],MATCH($B23,tblMatières[Material],0))</f>
        <v>71.375170862239642</v>
      </c>
      <c r="G23" s="200">
        <f t="shared" si="6"/>
        <v>182.28823626808645</v>
      </c>
      <c r="H23" s="316">
        <f t="shared" si="7"/>
        <v>1526200.9212759379</v>
      </c>
      <c r="I23" s="498">
        <f t="shared" si="8"/>
        <v>2.9737817794965159E-2</v>
      </c>
      <c r="J23" s="316">
        <f t="shared" si="9"/>
        <v>1251029.042535858</v>
      </c>
    </row>
    <row r="24" spans="1:10">
      <c r="A24" s="46"/>
      <c r="B24" s="37" t="str">
        <f>INDEX(ListeMatières,12)</f>
        <v>Paper laminants</v>
      </c>
      <c r="C24" s="26">
        <f>INDEX(tblMatières[Recovered quantity  (tonnes)],MATCH($B24,tblMatières[Material],0))</f>
        <v>3392.0864248591306</v>
      </c>
      <c r="D24" s="48">
        <f>INDEX(tblMatières[Reported quantity (tonnes)],MATCH($B24,tblMatières[Material],0))</f>
        <v>12555.716</v>
      </c>
      <c r="E24" s="191">
        <f>INDEX(tblMatières[Gross cost],MATCH($B24,tblMatières[Material],0))</f>
        <v>264.55625404850372</v>
      </c>
      <c r="F24" s="200">
        <f>INDEX(tblMatières[Gross revenue],MATCH($B24,tblMatières[Material],0))</f>
        <v>37.843922147128509</v>
      </c>
      <c r="G24" s="200">
        <f t="shared" si="6"/>
        <v>226.71233190137519</v>
      </c>
      <c r="H24" s="316">
        <f t="shared" si="7"/>
        <v>769027.82339081238</v>
      </c>
      <c r="I24" s="498">
        <f t="shared" si="8"/>
        <v>1.4984402756181969E-2</v>
      </c>
      <c r="J24" s="316">
        <f t="shared" si="9"/>
        <v>630373.18885623908</v>
      </c>
    </row>
    <row r="25" spans="1:10">
      <c r="A25" s="46"/>
      <c r="B25" s="37" t="str">
        <f>INDEX(ListeMatières,13)</f>
        <v>Aseptic containers</v>
      </c>
      <c r="C25" s="26">
        <f>INDEX(tblMatières[Recovered quantity  (tonnes)],MATCH($B25,tblMatières[Material],0))</f>
        <v>3243.9021752935305</v>
      </c>
      <c r="D25" s="48">
        <f>INDEX(tblMatières[Reported quantity (tonnes)],MATCH($B25,tblMatières[Material],0))</f>
        <v>6206.1570000000002</v>
      </c>
      <c r="E25" s="192">
        <f>INDEX(tblMatières[Gross cost],MATCH($B25,tblMatières[Material],0))</f>
        <v>249.79123840473002</v>
      </c>
      <c r="F25" s="200">
        <f>INDEX(tblMatières[Gross revenue],MATCH($B25,tblMatières[Material],0))</f>
        <v>63.679871675323923</v>
      </c>
      <c r="G25" s="200">
        <f t="shared" si="6"/>
        <v>186.11136672940609</v>
      </c>
      <c r="H25" s="316">
        <f t="shared" si="7"/>
        <v>603727.06738037243</v>
      </c>
      <c r="I25" s="498">
        <f t="shared" si="8"/>
        <v>1.1763539962114964E-2</v>
      </c>
      <c r="J25" s="316">
        <f t="shared" si="9"/>
        <v>494875.92657617969</v>
      </c>
    </row>
    <row r="26" spans="1:10">
      <c r="A26" s="43" t="str">
        <f>'Factor 1'!A26</f>
        <v>TOTAL - Paperboard</v>
      </c>
      <c r="B26" s="51"/>
      <c r="C26" s="22">
        <f t="shared" ref="C26:D26" si="10">SUBTOTAL(9,C19:C25)</f>
        <v>105979.32853638267</v>
      </c>
      <c r="D26" s="29">
        <f t="shared" si="10"/>
        <v>178777.73300000001</v>
      </c>
      <c r="E26" s="196"/>
      <c r="F26" s="205"/>
      <c r="G26" s="205"/>
      <c r="H26" s="321">
        <f t="shared" ref="H26:J26" si="11">SUBTOTAL(9,H19:H25)</f>
        <v>16663326.27345456</v>
      </c>
      <c r="I26" s="89">
        <f t="shared" si="11"/>
        <v>0.32468265067208363</v>
      </c>
      <c r="J26" s="305">
        <f t="shared" si="11"/>
        <v>13658951.991664698</v>
      </c>
    </row>
    <row r="27" spans="1:10">
      <c r="A27" s="46" t="str">
        <f>'Factor 1'!A27</f>
        <v>Plastic</v>
      </c>
      <c r="B27" s="37" t="str">
        <f>INDEX(ListeMatières,14)</f>
        <v>PET bottles</v>
      </c>
      <c r="C27" s="26">
        <f>INDEX(tblMatières[Recovered quantity  (tonnes)],MATCH($B27,tblMatières[Material],0))</f>
        <v>13623.907422425867</v>
      </c>
      <c r="D27" s="48">
        <f>INDEX(tblMatières[Reported quantity (tonnes)],MATCH($B27,tblMatières[Material],0))</f>
        <v>23176.743999999999</v>
      </c>
      <c r="E27" s="191">
        <f>INDEX(tblMatières[Gross cost],MATCH($B27,tblMatières[Material],0))</f>
        <v>504.66950684735929</v>
      </c>
      <c r="F27" s="200">
        <f>INDEX(tblMatières[Gross revenue],MATCH($B27,tblMatières[Material],0))</f>
        <v>298.66732096778912</v>
      </c>
      <c r="G27" s="200">
        <f t="shared" ref="G27:G37" si="12">E27-F27</f>
        <v>206.00218587957016</v>
      </c>
      <c r="H27" s="316">
        <f t="shared" ref="H27:H37" si="13">G27*C27</f>
        <v>2806554.7092406293</v>
      </c>
      <c r="I27" s="498">
        <f t="shared" ref="I27:I37" si="14">$H27/$H$48</f>
        <v>5.4685337566972608E-2</v>
      </c>
      <c r="J27" s="316">
        <f t="shared" ref="J27:J37" si="15">I27*$J$54</f>
        <v>2300536.8439893653</v>
      </c>
    </row>
    <row r="28" spans="1:10">
      <c r="A28" s="38"/>
      <c r="B28" s="37" t="str">
        <f>INDEX(ListeMatières,15)</f>
        <v>HDPE bottles</v>
      </c>
      <c r="C28" s="26">
        <f>INDEX(tblMatières[Recovered quantity  (tonnes)],MATCH($B28,tblMatières[Material],0))</f>
        <v>10319.634497317069</v>
      </c>
      <c r="D28" s="48">
        <f>INDEX(tblMatières[Reported quantity (tonnes)],MATCH($B28,tblMatières[Material],0))</f>
        <v>16609.435000000001</v>
      </c>
      <c r="E28" s="191">
        <f>INDEX(tblMatières[Gross cost],MATCH($B28,tblMatières[Material],0))</f>
        <v>438.19871526060439</v>
      </c>
      <c r="F28" s="200">
        <f>INDEX(tblMatières[Gross revenue],MATCH($B28,tblMatières[Material],0))</f>
        <v>358.77255105008879</v>
      </c>
      <c r="G28" s="200">
        <f t="shared" si="12"/>
        <v>79.426164210515594</v>
      </c>
      <c r="H28" s="316">
        <f t="shared" si="13"/>
        <v>819648.9841764071</v>
      </c>
      <c r="I28" s="498">
        <f t="shared" si="14"/>
        <v>1.5970749203118414E-2</v>
      </c>
      <c r="J28" s="316">
        <f t="shared" si="15"/>
        <v>671867.42557620665</v>
      </c>
    </row>
    <row r="29" spans="1:10">
      <c r="A29" s="38"/>
      <c r="B29" s="37" t="str">
        <f>INDEX(ListeMatières,16)</f>
        <v>Plastic laminants</v>
      </c>
      <c r="C29" s="26">
        <f>INDEX(tblMatières[Recovered quantity  (tonnes)],MATCH($B29,tblMatières[Material],0))</f>
        <v>1618.7545506972476</v>
      </c>
      <c r="D29" s="48">
        <f>INDEX(tblMatières[Reported quantity (tonnes)],MATCH($B29,tblMatières[Material],0))</f>
        <v>12064.946</v>
      </c>
      <c r="E29" s="191">
        <f>INDEX(tblMatières[Gross cost],MATCH($B29,tblMatières[Material],0))</f>
        <v>474.20041448241329</v>
      </c>
      <c r="F29" s="200">
        <f>INDEX(tblMatières[Gross revenue],MATCH($B29,tblMatières[Material],0))</f>
        <v>-55.041457183679881</v>
      </c>
      <c r="G29" s="200">
        <f t="shared" si="12"/>
        <v>529.24187166609318</v>
      </c>
      <c r="H29" s="316">
        <f t="shared" si="13"/>
        <v>856712.68817901704</v>
      </c>
      <c r="I29" s="498">
        <f t="shared" si="14"/>
        <v>1.6692930444835052E-2</v>
      </c>
      <c r="J29" s="316">
        <f t="shared" si="15"/>
        <v>702248.59589580842</v>
      </c>
    </row>
    <row r="30" spans="1:10">
      <c r="A30" s="38"/>
      <c r="B30" s="37" t="str">
        <f>INDEX(ListeMatières,17)</f>
        <v>HDPE and LDPE plastic film</v>
      </c>
      <c r="C30" s="26">
        <f>INDEX(tblMatières[Recovered quantity  (tonnes)],MATCH($B30,tblMatières[Material],0))</f>
        <v>4791.0687245431354</v>
      </c>
      <c r="D30" s="48">
        <f>INDEX(tblMatières[Reported quantity (tonnes)],MATCH($B30,tblMatières[Material],0))</f>
        <v>21920.366999999998</v>
      </c>
      <c r="E30" s="191">
        <f>INDEX(tblMatières[Gross cost],MATCH($B30,tblMatières[Material],0))</f>
        <v>629.02736574643279</v>
      </c>
      <c r="F30" s="200">
        <f>INDEX(tblMatières[Gross revenue],MATCH($B30,tblMatières[Material],0))</f>
        <v>-6.6195306319440776</v>
      </c>
      <c r="G30" s="200">
        <f t="shared" si="12"/>
        <v>635.64689637837682</v>
      </c>
      <c r="H30" s="316">
        <f t="shared" si="13"/>
        <v>3045427.9650913524</v>
      </c>
      <c r="I30" s="498">
        <f t="shared" si="14"/>
        <v>5.933975053419855E-2</v>
      </c>
      <c r="J30" s="316">
        <f t="shared" si="15"/>
        <v>2496341.5879050735</v>
      </c>
    </row>
    <row r="31" spans="1:10">
      <c r="A31" s="38"/>
      <c r="B31" s="37" t="str">
        <f>INDEX(ListeMatières,18)</f>
        <v>HDPE and LDPE plastic shopping bags</v>
      </c>
      <c r="C31" s="26">
        <f>INDEX(tblMatières[Recovered quantity  (tonnes)],MATCH($B31,tblMatières[Material],0))</f>
        <v>1211.2228001806236</v>
      </c>
      <c r="D31" s="48">
        <f>INDEX(tblMatières[Reported quantity (tonnes)],MATCH($B31,tblMatières[Material],0))</f>
        <v>9207.6</v>
      </c>
      <c r="E31" s="191">
        <f>INDEX(tblMatières[Gross cost],MATCH($B31,tblMatières[Material],0))</f>
        <v>629.02736574643279</v>
      </c>
      <c r="F31" s="200">
        <f>INDEX(tblMatières[Gross revenue],MATCH($B31,tblMatières[Material],0))</f>
        <v>-6.6195306319440776</v>
      </c>
      <c r="G31" s="200">
        <f t="shared" si="12"/>
        <v>635.64689637837682</v>
      </c>
      <c r="H31" s="316">
        <f t="shared" si="13"/>
        <v>769910.01375754026</v>
      </c>
      <c r="I31" s="498">
        <f t="shared" si="14"/>
        <v>1.5001592115735162E-2</v>
      </c>
      <c r="J31" s="316">
        <f t="shared" si="15"/>
        <v>631096.32154108852</v>
      </c>
    </row>
    <row r="32" spans="1:10">
      <c r="A32" s="38"/>
      <c r="B32" s="37" t="str">
        <f>INDEX(ListeMatières,19)</f>
        <v>Expanded polystyrene food</v>
      </c>
      <c r="C32" s="26">
        <f>INDEX(tblMatières[Recovered quantity  (tonnes)],MATCH($B32,tblMatières[Material],0))</f>
        <v>310.34995403285171</v>
      </c>
      <c r="D32" s="48">
        <f>INDEX(tblMatières[Reported quantity (tonnes)],MATCH($B32,tblMatières[Material],0))</f>
        <v>4326.0749999999998</v>
      </c>
      <c r="E32" s="191">
        <f>INDEX(tblMatières[Gross cost],MATCH($B32,tblMatières[Material],0))</f>
        <v>1970.4541126228219</v>
      </c>
      <c r="F32" s="200">
        <f>INDEX(tblMatières[Gross revenue],MATCH($B32,tblMatières[Material],0))</f>
        <v>-23.30865656861976</v>
      </c>
      <c r="G32" s="200">
        <f t="shared" si="12"/>
        <v>1993.7627691914415</v>
      </c>
      <c r="H32" s="316">
        <f t="shared" si="13"/>
        <v>618764.18377097498</v>
      </c>
      <c r="I32" s="498">
        <f t="shared" si="14"/>
        <v>1.2056536133950305E-2</v>
      </c>
      <c r="J32" s="316">
        <f t="shared" si="15"/>
        <v>507201.87203879183</v>
      </c>
    </row>
    <row r="33" spans="1:10">
      <c r="A33" s="265"/>
      <c r="B33" s="37" t="str">
        <f>INDEX(ListeMatières,20)</f>
        <v>Expanded polystyrene protection</v>
      </c>
      <c r="C33" s="26">
        <f>INDEX(tblMatières[Recovered quantity  (tonnes)],MATCH($B33,tblMatières[Material],0))</f>
        <v>606.7541775293505</v>
      </c>
      <c r="D33" s="48">
        <f>INDEX(tblMatières[Reported quantity (tonnes)],MATCH($B33,tblMatières[Material],0))</f>
        <v>1850.1969999999999</v>
      </c>
      <c r="E33" s="191">
        <f>INDEX(tblMatières[Gross cost],MATCH($B33,tblMatières[Material],0))</f>
        <v>1970.4541126228219</v>
      </c>
      <c r="F33" s="200">
        <f>INDEX(tblMatières[Gross revenue],MATCH($B33,tblMatières[Material],0))</f>
        <v>-23.30865656861976</v>
      </c>
      <c r="G33" s="200">
        <f>E33-F33</f>
        <v>1993.7627691914415</v>
      </c>
      <c r="H33" s="316">
        <f t="shared" si="13"/>
        <v>1209723.8892093934</v>
      </c>
      <c r="I33" s="498">
        <f t="shared" si="14"/>
        <v>2.3571305781580867E-2</v>
      </c>
      <c r="J33" s="316">
        <f t="shared" si="15"/>
        <v>991612.37406746286</v>
      </c>
    </row>
    <row r="34" spans="1:10">
      <c r="A34" s="38"/>
      <c r="B34" s="37" t="str">
        <f>INDEX(ListeMatières,21)</f>
        <v>Non-expanded polystyrene</v>
      </c>
      <c r="C34" s="26">
        <f>INDEX(tblMatières[Recovered quantity  (tonnes)],MATCH($B34,tblMatières[Material],0))</f>
        <v>1589.2978514450424</v>
      </c>
      <c r="D34" s="48">
        <f>INDEX(tblMatières[Reported quantity (tonnes)],MATCH($B34,tblMatières[Material],0))</f>
        <v>5060.2809999999999</v>
      </c>
      <c r="E34" s="191">
        <f>INDEX(tblMatières[Gross cost],MATCH($B34,tblMatières[Material],0))</f>
        <v>389.53318714584924</v>
      </c>
      <c r="F34" s="200">
        <f>INDEX(tblMatières[Gross revenue],MATCH($B34,tblMatières[Material],0))</f>
        <v>7.5935223568260266</v>
      </c>
      <c r="G34" s="200">
        <f t="shared" si="12"/>
        <v>381.9396647890232</v>
      </c>
      <c r="H34" s="316">
        <f t="shared" si="13"/>
        <v>607015.88863083429</v>
      </c>
      <c r="I34" s="498">
        <f t="shared" si="14"/>
        <v>1.1827622197778062E-2</v>
      </c>
      <c r="J34" s="316">
        <f t="shared" si="15"/>
        <v>497571.77798255748</v>
      </c>
    </row>
    <row r="35" spans="1:10">
      <c r="A35" s="38"/>
      <c r="B35" s="37" t="str">
        <f>INDEX(ListeMatières,22)</f>
        <v>PET containers</v>
      </c>
      <c r="C35" s="26">
        <f>INDEX(tblMatières[Recovered quantity  (tonnes)],MATCH($B35,tblMatières[Material],0))</f>
        <v>3446.1724346558049</v>
      </c>
      <c r="D35" s="48">
        <f>INDEX(tblMatières[Reported quantity (tonnes)],MATCH($B35,tblMatières[Material],0))</f>
        <v>7067.826</v>
      </c>
      <c r="E35" s="191">
        <f>INDEX(tblMatières[Gross cost],MATCH($B35,tblMatières[Material],0))</f>
        <v>373.08</v>
      </c>
      <c r="F35" s="200">
        <f>INDEX(tblMatières[Gross revenue],MATCH($B35,tblMatières[Material],0))</f>
        <v>46.71</v>
      </c>
      <c r="G35" s="200">
        <f t="shared" si="12"/>
        <v>326.37</v>
      </c>
      <c r="H35" s="316">
        <f t="shared" si="13"/>
        <v>1124727.297498615</v>
      </c>
      <c r="I35" s="498">
        <f t="shared" si="14"/>
        <v>2.1915158728953592E-2</v>
      </c>
      <c r="J35" s="316">
        <f t="shared" si="15"/>
        <v>921940.54825186229</v>
      </c>
    </row>
    <row r="36" spans="1:10">
      <c r="A36" s="38"/>
      <c r="B36" s="37" t="str">
        <f>INDEX(ListeMatières,23)</f>
        <v>Polylactic acid (PLA) and other degradable plastics</v>
      </c>
      <c r="C36" s="26">
        <f>INDEX(tblMatières[Recovered quantity  (tonnes)],MATCH($B36,tblMatières[Material],0))</f>
        <v>18.258565640010666</v>
      </c>
      <c r="D36" s="48">
        <f>INDEX(tblMatières[Reported quantity (tonnes)],MATCH($B36,tblMatières[Material],0))</f>
        <v>88.733999999999995</v>
      </c>
      <c r="E36" s="191">
        <f>INDEX(tblMatières[Gross cost],MATCH($B36,tblMatières[Material],0))</f>
        <v>512.82240445693878</v>
      </c>
      <c r="F36" s="200">
        <f>INDEX(tblMatières[Gross revenue],MATCH($B36,tblMatières[Material],0))</f>
        <v>282.31562432014283</v>
      </c>
      <c r="G36" s="200">
        <f t="shared" si="12"/>
        <v>230.50678013679595</v>
      </c>
      <c r="H36" s="316">
        <f t="shared" si="13"/>
        <v>4208.7231755951952</v>
      </c>
      <c r="I36" s="498">
        <f t="shared" si="14"/>
        <v>8.2006399813113728E-5</v>
      </c>
      <c r="J36" s="316">
        <f t="shared" si="15"/>
        <v>3449.8963087124071</v>
      </c>
    </row>
    <row r="37" spans="1:10">
      <c r="A37" s="38"/>
      <c r="B37" s="37" t="str">
        <f>INDEX(ListeMatières,24)</f>
        <v>Other plastics, polymers and polyurethane</v>
      </c>
      <c r="C37" s="26">
        <f>INDEX(tblMatières[Recovered quantity  (tonnes)],MATCH($B37,tblMatières[Material],0))</f>
        <v>12129.950450506696</v>
      </c>
      <c r="D37" s="48">
        <f>INDEX(tblMatières[Reported quantity (tonnes)],MATCH($B37,tblMatières[Material],0))</f>
        <v>33319.733</v>
      </c>
      <c r="E37" s="192">
        <f>INDEX(tblMatières[Gross cost],MATCH($B37,tblMatières[Material],0))</f>
        <v>380.47</v>
      </c>
      <c r="F37" s="200">
        <f>INDEX(tblMatières[Gross revenue],MATCH($B37,tblMatières[Material],0))</f>
        <v>111.9</v>
      </c>
      <c r="G37" s="200">
        <f t="shared" si="12"/>
        <v>268.57000000000005</v>
      </c>
      <c r="H37" s="316">
        <f t="shared" si="13"/>
        <v>3257740.7924925839</v>
      </c>
      <c r="I37" s="498">
        <f t="shared" si="14"/>
        <v>6.3476637158217414E-2</v>
      </c>
      <c r="J37" s="316">
        <f t="shared" si="15"/>
        <v>2670374.7112501883</v>
      </c>
    </row>
    <row r="38" spans="1:10">
      <c r="A38" s="43" t="str">
        <f>'Factor 1'!A38</f>
        <v>TOTAL - Plastic</v>
      </c>
      <c r="B38" s="51"/>
      <c r="C38" s="24">
        <f t="shared" ref="C38:D38" si="16">SUBTOTAL(9,C27:C37)</f>
        <v>49665.371428973704</v>
      </c>
      <c r="D38" s="30">
        <f t="shared" si="16"/>
        <v>134691.93799999999</v>
      </c>
      <c r="E38" s="127"/>
      <c r="F38" s="126"/>
      <c r="G38" s="126"/>
      <c r="H38" s="321">
        <f t="shared" ref="H38:J38" si="17">SUBTOTAL(9,H27:H37)</f>
        <v>15120435.13522294</v>
      </c>
      <c r="I38" s="89">
        <f t="shared" si="17"/>
        <v>0.29461962626515315</v>
      </c>
      <c r="J38" s="305">
        <f t="shared" si="17"/>
        <v>12394241.954807118</v>
      </c>
    </row>
    <row r="39" spans="1:10">
      <c r="A39" s="46" t="str">
        <f>'Factor 1'!A39</f>
        <v>Aluminium</v>
      </c>
      <c r="B39" s="37" t="str">
        <f>INDEX(ListeMatières,25)</f>
        <v>Aluminium containers for food and beverages</v>
      </c>
      <c r="C39" s="26">
        <f>INDEX(tblMatières[Recovered quantity  (tonnes)],MATCH($B39,tblMatières[Material],0))</f>
        <v>1291.1594981629264</v>
      </c>
      <c r="D39" s="48">
        <f>INDEX(tblMatières[Reported quantity (tonnes)],MATCH($B39,tblMatières[Material],0))</f>
        <v>2927.57</v>
      </c>
      <c r="E39" s="191">
        <f>INDEX(tblMatières[Gross cost],MATCH($B39,tblMatières[Material],0))</f>
        <v>415.62857125357999</v>
      </c>
      <c r="F39" s="200">
        <f>INDEX(tblMatières[Gross revenue],MATCH($B39,tblMatières[Material],0))</f>
        <v>622.6824268872673</v>
      </c>
      <c r="G39" s="200">
        <f>E39-F39</f>
        <v>-207.05385563368731</v>
      </c>
      <c r="H39" s="316">
        <f>G39*C39</f>
        <v>-267339.55233269074</v>
      </c>
      <c r="I39" s="498">
        <f>$H39/$H$48</f>
        <v>-5.2090748903562802E-3</v>
      </c>
      <c r="J39" s="316">
        <f>I39*$J$54</f>
        <v>-219138.60719408016</v>
      </c>
    </row>
    <row r="40" spans="1:10">
      <c r="A40" s="46"/>
      <c r="B40" s="37" t="str">
        <f>INDEX(ListeMatières,26)</f>
        <v>Other aluminium containers and packaging</v>
      </c>
      <c r="C40" s="26">
        <f>INDEX(tblMatières[Recovered quantity  (tonnes)],MATCH($B40,tblMatières[Material],0))</f>
        <v>222.40040322833309</v>
      </c>
      <c r="D40" s="48">
        <f>INDEX(tblMatières[Reported quantity (tonnes)],MATCH($B40,tblMatières[Material],0))</f>
        <v>2080.9479999999999</v>
      </c>
      <c r="E40" s="191">
        <f>INDEX(tblMatières[Gross cost],MATCH($B40,tblMatières[Material],0))</f>
        <v>388.20984489728426</v>
      </c>
      <c r="F40" s="200">
        <f>INDEX(tblMatières[Gross revenue],MATCH($B40,tblMatières[Material],0))</f>
        <v>450.54057421259438</v>
      </c>
      <c r="G40" s="200">
        <f>E40-F40</f>
        <v>-62.330729315310123</v>
      </c>
      <c r="H40" s="316">
        <f>G40*C40</f>
        <v>-13862.379333241053</v>
      </c>
      <c r="I40" s="498">
        <f>$H40/$H$48</f>
        <v>-2.7010657972344415E-4</v>
      </c>
      <c r="J40" s="316">
        <f>I40*$J$54</f>
        <v>-11363.011843836997</v>
      </c>
    </row>
    <row r="41" spans="1:10">
      <c r="A41" s="43" t="str">
        <f>'Factor 1'!A41</f>
        <v>TOTAL - Aluminium</v>
      </c>
      <c r="B41" s="51"/>
      <c r="C41" s="22">
        <f t="shared" ref="C41:D41" si="18">SUBTOTAL(9,C39:C40)</f>
        <v>1513.5599013912595</v>
      </c>
      <c r="D41" s="29">
        <f t="shared" si="18"/>
        <v>5008.518</v>
      </c>
      <c r="E41" s="198"/>
      <c r="F41" s="206"/>
      <c r="G41" s="206"/>
      <c r="H41" s="322">
        <f t="shared" ref="H41:J41" si="19">SUBTOTAL(9,H39:H40)</f>
        <v>-281201.93166593177</v>
      </c>
      <c r="I41" s="500">
        <f t="shared" si="19"/>
        <v>-5.4791814700797248E-3</v>
      </c>
      <c r="J41" s="305">
        <f t="shared" si="19"/>
        <v>-230501.61903791717</v>
      </c>
    </row>
    <row r="42" spans="1:10">
      <c r="A42" s="46" t="str">
        <f>'Factor 1'!A42</f>
        <v>Steel</v>
      </c>
      <c r="B42" s="37" t="str">
        <f>INDEX(ListeMatières,27)</f>
        <v>Steel aerosol containers</v>
      </c>
      <c r="C42" s="26">
        <f>INDEX(tblMatières[Recovered quantity  (tonnes)],MATCH($B42,tblMatières[Material],0))</f>
        <v>310.16626167182272</v>
      </c>
      <c r="D42" s="48">
        <f>INDEX(tblMatières[Reported quantity (tonnes)],MATCH($B42,tblMatières[Material],0))</f>
        <v>1674.4069999999999</v>
      </c>
      <c r="E42" s="190">
        <f>INDEX(tblMatières[Gross cost],MATCH($B42,tblMatières[Material],0))</f>
        <v>371.94419990136953</v>
      </c>
      <c r="F42" s="200">
        <f>INDEX(tblMatières[Gross revenue],MATCH($B42,tblMatières[Material],0))</f>
        <v>571.29893568913508</v>
      </c>
      <c r="G42" s="200">
        <f>E42-F42</f>
        <v>-199.35473578776555</v>
      </c>
      <c r="H42" s="316">
        <f>G42*C42</f>
        <v>-61833.113145865173</v>
      </c>
      <c r="I42" s="498">
        <f>$H42/$H$48</f>
        <v>-1.2048098168424253E-3</v>
      </c>
      <c r="J42" s="316">
        <f>I42*$J$54</f>
        <v>-50684.68984490756</v>
      </c>
    </row>
    <row r="43" spans="1:10">
      <c r="A43" s="46"/>
      <c r="B43" s="37" t="str">
        <f>INDEX(ListeMatières,28)</f>
        <v>Other steel containers</v>
      </c>
      <c r="C43" s="26">
        <f>INDEX(tblMatières[Recovered quantity  (tonnes)],MATCH($B43,tblMatières[Material],0))</f>
        <v>15062.447967705493</v>
      </c>
      <c r="D43" s="48">
        <f>INDEX(tblMatières[Reported quantity (tonnes)],MATCH($B43,tblMatières[Material],0))</f>
        <v>26909.557000000001</v>
      </c>
      <c r="E43" s="191">
        <f>INDEX(tblMatières[Gross cost],MATCH($B43,tblMatières[Material],0))</f>
        <v>277.10493091321689</v>
      </c>
      <c r="F43" s="200">
        <f>INDEX(tblMatières[Gross revenue],MATCH($B43,tblMatières[Material],0))</f>
        <v>219.29840536479117</v>
      </c>
      <c r="G43" s="200">
        <f>E43-F43</f>
        <v>57.806525548425725</v>
      </c>
      <c r="H43" s="316">
        <f>G43*C43</f>
        <v>870707.78326700069</v>
      </c>
      <c r="I43" s="498">
        <f>$H43/$H$48</f>
        <v>1.6965622973025726E-2</v>
      </c>
      <c r="J43" s="316">
        <f>I43*$J$54</f>
        <v>713720.39503053913</v>
      </c>
    </row>
    <row r="44" spans="1:10">
      <c r="A44" s="43" t="str">
        <f>'Factor 1'!A44</f>
        <v>TOTAL - Steel</v>
      </c>
      <c r="B44" s="51"/>
      <c r="C44" s="22">
        <f t="shared" ref="C44:D44" si="20">SUBTOTAL(9,C42:C43)</f>
        <v>15372.614229377315</v>
      </c>
      <c r="D44" s="29">
        <f t="shared" si="20"/>
        <v>28583.964</v>
      </c>
      <c r="E44" s="196"/>
      <c r="F44" s="205"/>
      <c r="G44" s="205"/>
      <c r="H44" s="321">
        <f t="shared" ref="H44:J44" si="21">SUBTOTAL(9,H42:H43)</f>
        <v>808874.67012113554</v>
      </c>
      <c r="I44" s="89">
        <f t="shared" si="21"/>
        <v>1.5760813156183301E-2</v>
      </c>
      <c r="J44" s="305">
        <f t="shared" si="21"/>
        <v>663035.70518563152</v>
      </c>
    </row>
    <row r="45" spans="1:10">
      <c r="A45" s="46" t="str">
        <f>'Factor 1'!A45</f>
        <v>Glass</v>
      </c>
      <c r="B45" s="37" t="str">
        <f>INDEX(ListeMatières,29)</f>
        <v>Clear glass</v>
      </c>
      <c r="C45" s="26">
        <f>INDEX(tblMatières[Recovered quantity  (tonnes)],MATCH($B45,tblMatières[Material],0))</f>
        <v>41916.035629230697</v>
      </c>
      <c r="D45" s="48">
        <f>INDEX(tblMatières[Reported quantity (tonnes)],MATCH($B45,tblMatières[Material],0))</f>
        <v>54262.898999999998</v>
      </c>
      <c r="E45" s="190">
        <f>INDEX(tblMatières[Gross cost],MATCH($B45,tblMatières[Material],0))</f>
        <v>136.90188685491088</v>
      </c>
      <c r="F45" s="200">
        <f>INDEX(tblMatières[Gross revenue],MATCH($B45,tblMatières[Material],0))</f>
        <v>-42.518992159558358</v>
      </c>
      <c r="G45" s="200">
        <f>E45-F45</f>
        <v>179.42087901446925</v>
      </c>
      <c r="H45" s="316">
        <f>G45*C45</f>
        <v>7520611.9573983829</v>
      </c>
      <c r="I45" s="498">
        <f>$H45/$H$48</f>
        <v>0.14653810319336977</v>
      </c>
      <c r="J45" s="316">
        <f>I45*$J$54</f>
        <v>6164656.2029867638</v>
      </c>
    </row>
    <row r="46" spans="1:10">
      <c r="A46" s="46"/>
      <c r="B46" s="242" t="str">
        <f>INDEX(ListeMatières,30)</f>
        <v>Coloured glass</v>
      </c>
      <c r="C46" s="26">
        <f>INDEX(tblMatières[Recovered quantity  (tonnes)],MATCH($B46,tblMatières[Material],0))</f>
        <v>63670.302407108764</v>
      </c>
      <c r="D46" s="48">
        <f>INDEX(tblMatières[Reported quantity (tonnes)],MATCH($B46,tblMatières[Material],0))</f>
        <v>82425.142000000007</v>
      </c>
      <c r="E46" s="192">
        <f>INDEX(tblMatières[Gross cost],MATCH($B46,tblMatières[Material],0))</f>
        <v>136.25083495406378</v>
      </c>
      <c r="F46" s="200">
        <f>INDEX(tblMatières[Gross revenue],MATCH($B46,tblMatières[Material],0))</f>
        <v>-44.207563273629816</v>
      </c>
      <c r="G46" s="200">
        <f>E46-F46</f>
        <v>180.45839822769358</v>
      </c>
      <c r="H46" s="316">
        <f>G46*C46</f>
        <v>11489840.787059709</v>
      </c>
      <c r="I46" s="498">
        <f>$H46/$H$48</f>
        <v>0.22387798818328999</v>
      </c>
      <c r="J46" s="316">
        <f>I46*$J$54</f>
        <v>9418238.6593684349</v>
      </c>
    </row>
    <row r="47" spans="1:10">
      <c r="A47" s="43" t="str">
        <f>'Factor 1'!A47</f>
        <v>TOTAL - Glass</v>
      </c>
      <c r="B47" s="51"/>
      <c r="C47" s="22">
        <f t="shared" ref="C47:D47" si="22">SUBTOTAL(9,C45:C46)</f>
        <v>105586.33803633947</v>
      </c>
      <c r="D47" s="29">
        <f t="shared" si="22"/>
        <v>136688.041</v>
      </c>
      <c r="E47" s="197"/>
      <c r="F47" s="205"/>
      <c r="G47" s="205"/>
      <c r="H47" s="321">
        <f t="shared" ref="H47:J47" si="23">SUBTOTAL(9,H45:H46)</f>
        <v>19010452.744458094</v>
      </c>
      <c r="I47" s="89">
        <f t="shared" si="23"/>
        <v>0.37041609137665976</v>
      </c>
      <c r="J47" s="305">
        <f t="shared" si="23"/>
        <v>15582894.862355199</v>
      </c>
    </row>
    <row r="48" spans="1:10" ht="15.75" thickBot="1">
      <c r="A48" s="56" t="str">
        <f>'Factor 1'!A48</f>
        <v>TOTAL - CONTAINERS AND PACKAGING</v>
      </c>
      <c r="B48" s="52"/>
      <c r="C48" s="27">
        <f t="shared" ref="C48:D48" si="24">SUBTOTAL(9,C19:C47)</f>
        <v>278117.2121324644</v>
      </c>
      <c r="D48" s="148">
        <f t="shared" si="24"/>
        <v>483750.19400000002</v>
      </c>
      <c r="E48" s="122"/>
      <c r="F48" s="123"/>
      <c r="G48" s="123"/>
      <c r="H48" s="304">
        <f t="shared" ref="H48:J48" si="25">SUBTOTAL(9,H19:H47)</f>
        <v>51321886.891590796</v>
      </c>
      <c r="I48" s="463">
        <f t="shared" si="25"/>
        <v>1.0000000000000002</v>
      </c>
      <c r="J48" s="304">
        <f t="shared" si="25"/>
        <v>42068622.894974731</v>
      </c>
    </row>
    <row r="49" spans="1:10">
      <c r="A49" s="38"/>
      <c r="B49" s="39"/>
      <c r="C49" s="35"/>
      <c r="D49" s="39"/>
      <c r="E49" s="128"/>
      <c r="F49" s="129"/>
      <c r="G49" s="129"/>
      <c r="H49" s="302"/>
      <c r="I49" s="64"/>
      <c r="J49" s="302"/>
    </row>
    <row r="50" spans="1:10" ht="15.75" thickBot="1">
      <c r="A50" s="57" t="str">
        <f>'Factor 1'!A50</f>
        <v>TOTAL</v>
      </c>
      <c r="B50" s="53"/>
      <c r="C50" s="25">
        <f t="shared" ref="C50:D50" si="26">SUBTOTAL(9,C10:C48)</f>
        <v>406590.86812763795</v>
      </c>
      <c r="D50" s="31">
        <f t="shared" si="26"/>
        <v>644994.44999999995</v>
      </c>
      <c r="E50" s="130"/>
      <c r="F50" s="131"/>
      <c r="G50" s="131"/>
      <c r="H50" s="308">
        <f>SUBTOTAL(9,H10:H48)</f>
        <v>63604371.963708147</v>
      </c>
      <c r="I50" s="86"/>
      <c r="J50" s="308">
        <f>SUBTOTAL(9,J10:J48)</f>
        <v>53419544.788750924</v>
      </c>
    </row>
    <row r="51" spans="1:10" ht="15.75" thickTop="1">
      <c r="A51" s="38"/>
      <c r="B51" s="35"/>
      <c r="E51" s="117"/>
      <c r="F51" s="117"/>
      <c r="G51" s="117"/>
      <c r="H51" s="117"/>
      <c r="I51" s="37"/>
      <c r="J51" s="310"/>
    </row>
    <row r="52" spans="1:10">
      <c r="A52" s="42" t="str">
        <f>'Factor 1'!A52</f>
        <v>Distribution of the cost of the factor per class</v>
      </c>
      <c r="B52" s="97"/>
      <c r="C52" s="96"/>
      <c r="D52" s="96"/>
      <c r="E52" s="119"/>
      <c r="F52" s="119"/>
      <c r="G52" s="119"/>
      <c r="H52" s="119"/>
      <c r="I52" s="96"/>
      <c r="J52" s="311"/>
    </row>
    <row r="53" spans="1:10">
      <c r="A53" s="100" t="str">
        <f>'Factor 1'!A53</f>
        <v>Printed matter</v>
      </c>
      <c r="B53" s="98"/>
      <c r="C53" s="95"/>
      <c r="D53" s="95"/>
      <c r="E53" s="120"/>
      <c r="F53" s="120"/>
      <c r="G53" s="120"/>
      <c r="H53" s="120"/>
      <c r="I53" s="95"/>
      <c r="J53" s="312">
        <f>'Net Costs'!$G48*$E$8</f>
        <v>11350921.893776212</v>
      </c>
    </row>
    <row r="54" spans="1:10">
      <c r="A54" s="101" t="str">
        <f>'Factor 1'!A54</f>
        <v>Containers and packaging</v>
      </c>
      <c r="B54" s="49"/>
      <c r="C54" s="54"/>
      <c r="D54" s="54"/>
      <c r="E54" s="121"/>
      <c r="F54" s="121"/>
      <c r="G54" s="121"/>
      <c r="H54" s="121"/>
      <c r="I54" s="54"/>
      <c r="J54" s="313">
        <f>'Net Costs'!$G49*$E$8</f>
        <v>42068622.894974723</v>
      </c>
    </row>
  </sheetData>
  <sheetProtection password="82A0" sheet="1" objects="1" scenarios="1"/>
  <mergeCells count="2">
    <mergeCell ref="C6:D6"/>
    <mergeCell ref="E6:J6"/>
  </mergeCells>
  <pageMargins left="0.7" right="0.7" top="0.75" bottom="0.75" header="0.3" footer="0.3"/>
  <pageSetup scale="44" fitToHeight="0" orientation="landscape" r:id="rId1"/>
  <ignoredErrors>
    <ignoredError sqref="C34:C37 C27:C32 E26:G26 C39:C40 E38:G38 C42:C43 E41:G41 C45 E44:G44 D34:J37 D27:J32 D39:J40 D42:J43 D45:J45" formula="1"/>
  </ignoredError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56</vt:i4>
      </vt:variant>
    </vt:vector>
  </HeadingPairs>
  <TitlesOfParts>
    <vt:vector size="70" baseType="lpstr">
      <vt:lpstr>Cover page</vt:lpstr>
      <vt:lpstr>Executive Summary</vt:lpstr>
      <vt:lpstr>Parameters</vt:lpstr>
      <vt:lpstr>Reporting</vt:lpstr>
      <vt:lpstr>Characterization</vt:lpstr>
      <vt:lpstr>Net Costs</vt:lpstr>
      <vt:lpstr>Materials summary</vt:lpstr>
      <vt:lpstr>Factor 1</vt:lpstr>
      <vt:lpstr>Factor 2</vt:lpstr>
      <vt:lpstr>Factor 3</vt:lpstr>
      <vt:lpstr>Admin expenses &amp; R-Q</vt:lpstr>
      <vt:lpstr>Fees hike cap</vt:lpstr>
      <vt:lpstr>Credit recycled content</vt:lpstr>
      <vt:lpstr>Fees</vt:lpstr>
      <vt:lpstr>AnnéeRéf</vt:lpstr>
      <vt:lpstr>AnnéeTarif</vt:lpstr>
      <vt:lpstr>AnticipationTarifFixe</vt:lpstr>
      <vt:lpstr>AutresParamètres</vt:lpstr>
      <vt:lpstr>CompensationMaxRM</vt:lpstr>
      <vt:lpstr>CoûtsAssumésEEQ</vt:lpstr>
      <vt:lpstr>CoûtsAssumésIndustrie</vt:lpstr>
      <vt:lpstr>CoûtsNetsAprèsMatOrph</vt:lpstr>
      <vt:lpstr>CoûtsNetsDéclarés</vt:lpstr>
      <vt:lpstr>CoutsNetsEstimé</vt:lpstr>
      <vt:lpstr>CoûtTotalCompenser</vt:lpstr>
      <vt:lpstr>Facteur1</vt:lpstr>
      <vt:lpstr>Facteur2</vt:lpstr>
      <vt:lpstr>Facteur3</vt:lpstr>
      <vt:lpstr>FondsRetraitCE</vt:lpstr>
      <vt:lpstr>FondsRetraitConjoint</vt:lpstr>
      <vt:lpstr>FondsRetraitImprimé</vt:lpstr>
      <vt:lpstr>FondsRisque</vt:lpstr>
      <vt:lpstr>FondsRisqueActuel</vt:lpstr>
      <vt:lpstr>FondsRisquePourcCible</vt:lpstr>
      <vt:lpstr>FraisAdminÉEQ</vt:lpstr>
      <vt:lpstr>FraisGestionImputés</vt:lpstr>
      <vt:lpstr>FraisMun</vt:lpstr>
      <vt:lpstr>FraisProvisionEtRisque</vt:lpstr>
      <vt:lpstr>FraisRDÉEQ</vt:lpstr>
      <vt:lpstr>FraisRQ</vt:lpstr>
      <vt:lpstr>Fees!Impression_des_titres</vt:lpstr>
      <vt:lpstr>IndemnitéRQ</vt:lpstr>
      <vt:lpstr>LimiteHausse</vt:lpstr>
      <vt:lpstr>ListeMatières</vt:lpstr>
      <vt:lpstr>ObjectifRecup</vt:lpstr>
      <vt:lpstr>PartCERelative</vt:lpstr>
      <vt:lpstr>PartCoutContenants</vt:lpstr>
      <vt:lpstr>PartCoutImprimés</vt:lpstr>
      <vt:lpstr>PartEEQ</vt:lpstr>
      <vt:lpstr>PartImprimésRelative</vt:lpstr>
      <vt:lpstr>PartIndustrie</vt:lpstr>
      <vt:lpstr>PourcMatOrphelines</vt:lpstr>
      <vt:lpstr>PourcPE</vt:lpstr>
      <vt:lpstr>ProvCréances</vt:lpstr>
      <vt:lpstr>RabaisCrédit</vt:lpstr>
      <vt:lpstr>rgDéclaration_Matières</vt:lpstr>
      <vt:lpstr>rgDéclaration_NbDécl</vt:lpstr>
      <vt:lpstr>rgDéclaration_QtéFinale</vt:lpstr>
      <vt:lpstr>rgTarif_Matières</vt:lpstr>
      <vt:lpstr>rgTarif_TxFinal</vt:lpstr>
      <vt:lpstr>TauxStewardship</vt:lpstr>
      <vt:lpstr>TonnageCrédit</vt:lpstr>
      <vt:lpstr>'Admin expenses &amp; R-Q'!Zone_d_impression</vt:lpstr>
      <vt:lpstr>'Credit recycled content'!Zone_d_impression</vt:lpstr>
      <vt:lpstr>'Executive Summary'!Zone_d_impression</vt:lpstr>
      <vt:lpstr>Fees!Zone_d_impression</vt:lpstr>
      <vt:lpstr>'Fees hike cap'!Zone_d_impression</vt:lpstr>
      <vt:lpstr>'Net Costs'!Zone_d_impression</vt:lpstr>
      <vt:lpstr>Parameters!Zone_d_impression</vt:lpstr>
      <vt:lpstr>Reporting!Zone_d_impression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2015-11-03T16:43:59Z</dcterms:created>
  <dcterms:modified xsi:type="dcterms:W3CDTF">2016-07-11T16:25:10Z</dcterms:modified>
</cp:coreProperties>
</file>