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132" yWindow="6312" windowWidth="19440" windowHeight="5652" tabRatio="902" activeTab="1"/>
  </bookViews>
  <sheets>
    <sheet name="Page couverture" sheetId="18" r:id="rId1"/>
    <sheet name="Sommaire exécutif" sheetId="10" r:id="rId2"/>
    <sheet name="Paramètres" sheetId="1" r:id="rId3"/>
    <sheet name="Déclaration" sheetId="3" r:id="rId4"/>
    <sheet name="Caractérisation" sheetId="4" r:id="rId5"/>
    <sheet name="Coûts nets" sheetId="7" r:id="rId6"/>
    <sheet name="Sommaire matières" sheetId="17" r:id="rId7"/>
    <sheet name="Facteur 1" sheetId="11" r:id="rId8"/>
    <sheet name="Facteur 2" sheetId="13" r:id="rId9"/>
    <sheet name="Facteur 3" sheetId="12" r:id="rId10"/>
    <sheet name="Frais de gestion &amp; RQ" sheetId="15" r:id="rId11"/>
    <sheet name="Limitation hausse" sheetId="19" r:id="rId12"/>
    <sheet name="Crédit contenu recyclé" sheetId="8" r:id="rId13"/>
    <sheet name="Tarif" sheetId="2" r:id="rId14"/>
  </sheets>
  <externalReferences>
    <externalReference r:id="rId15"/>
  </externalReferences>
  <definedNames>
    <definedName name="AnnéeRéf" localSheetId="0">[1]Paramètres!$C$6</definedName>
    <definedName name="AnnéeRéf">Paramètres!$C$6</definedName>
    <definedName name="AnnéeTarif" localSheetId="0">[1]Paramètres!$C$4</definedName>
    <definedName name="AnnéeTarif">Paramètres!$C$4</definedName>
    <definedName name="AnticipationTarifFixe">Paramètres!$C$20</definedName>
    <definedName name="AutresParamètres">Paramètres!$J$4:$J$32</definedName>
    <definedName name="CompensationMaxRM" localSheetId="0">[1]Paramètres!$C$15</definedName>
    <definedName name="CompensationMaxRM">Paramètres!$C$15</definedName>
    <definedName name="CoûtsAssumésEEQ" localSheetId="0">'[1]Coûts nets'!$C$16</definedName>
    <definedName name="CoûtsAssumésEEQ">'Coûts nets'!$C$19</definedName>
    <definedName name="CoûtsAssumésIndustrie" localSheetId="0">'[1]Coûts nets'!$C$14</definedName>
    <definedName name="CoûtsAssumésIndustrie">'Coûts nets'!$C$16</definedName>
    <definedName name="CoûtsNetsAprèsMatOrph" localSheetId="0">'[1]Coûts nets'!$C$7</definedName>
    <definedName name="CoûtsNetsAprèsMatOrph">'Coûts nets'!$C$8</definedName>
    <definedName name="CoûtsNetsDéclarés" localSheetId="0">[1]Paramètres!$C$9</definedName>
    <definedName name="CoûtsNetsDéclarés">Paramètres!$C$9</definedName>
    <definedName name="CoutsNetsEstimé">'Coûts nets'!$C$10</definedName>
    <definedName name="CoûtTotalCompenser">'Coûts nets'!$H$50</definedName>
    <definedName name="Facteur1" localSheetId="0">[1]Paramètres!$C$22</definedName>
    <definedName name="Facteur1">Paramètres!$C$23</definedName>
    <definedName name="Facteur2" localSheetId="0">[1]Paramètres!$C$23</definedName>
    <definedName name="Facteur2">Paramètres!$C$24</definedName>
    <definedName name="Facteur3" localSheetId="0">[1]Paramètres!$C$24</definedName>
    <definedName name="Facteur3">Paramètres!$C$25</definedName>
    <definedName name="FondsRetraitCE" localSheetId="0">[1]Paramètres!$C$52</definedName>
    <definedName name="FondsRetraitCE">Paramètres!$C$42</definedName>
    <definedName name="FondsRetraitConjoint" localSheetId="0">[1]Paramètres!$C$50</definedName>
    <definedName name="FondsRetraitConjoint">Paramètres!$C$40</definedName>
    <definedName name="FondsRetraitImprimé" localSheetId="0">[1]Paramètres!$C$51</definedName>
    <definedName name="FondsRetraitImprimé">Paramètres!$C$41</definedName>
    <definedName name="FondsRisque">'Coûts nets'!$C$35</definedName>
    <definedName name="FondsRisqueActuel" localSheetId="0">[1]Paramètres!$C$47</definedName>
    <definedName name="FondsRisqueActuel">Paramètres!$C$37</definedName>
    <definedName name="FondsRisquePourcCible" localSheetId="0">[1]Paramètres!$C$48</definedName>
    <definedName name="FondsRisquePourcCible">Paramètres!$C$38</definedName>
    <definedName name="FraisAdminÉEQ" localSheetId="0">[1]Paramètres!$C$17</definedName>
    <definedName name="FraisAdminÉEQ">Paramètres!$C$17</definedName>
    <definedName name="FraisGestionImputés" localSheetId="0">'[1]Coûts nets'!$C$27</definedName>
    <definedName name="FraisGestionImputés">'Coûts nets'!$C$30</definedName>
    <definedName name="FraisMun" localSheetId="0">[1]Paramètres!$C$12</definedName>
    <definedName name="FraisMun">Paramètres!$C$12</definedName>
    <definedName name="FraisProvisionEtRisque" localSheetId="0">'[1]Coûts nets'!$C$33</definedName>
    <definedName name="FraisProvisionEtRisque">'Coûts nets'!$C$36</definedName>
    <definedName name="FraisRDÉEQ" localSheetId="0">[1]Paramètres!$C$18</definedName>
    <definedName name="FraisRDÉEQ">Paramètres!$C$18</definedName>
    <definedName name="FraisRQ">'Coûts nets'!$C$23</definedName>
    <definedName name="_xlnm.Print_Titles" localSheetId="4">Caractérisation!#REF!</definedName>
    <definedName name="_xlnm.Print_Titles" localSheetId="13">Tarif!$B:$C,Tarif!$2:$3</definedName>
    <definedName name="IndemnitéRQ" localSheetId="0">[1]Paramètres!$C$16</definedName>
    <definedName name="IndemnitéRQ">Paramètres!$C$16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iteHausse">Paramètres!$C$44</definedName>
    <definedName name="ListeMatières" localSheetId="0">[1]!tblMatièresParam[Matière1]</definedName>
    <definedName name="ListeMatières">Paramètres!$B$48:$B$77</definedName>
    <definedName name="ObjectifRecup" localSheetId="0">[1]Paramètres!$C$25</definedName>
    <definedName name="ObjectifRecup">Paramètres!$C$26</definedName>
    <definedName name="ParamètresComp" localSheetId="11">#REF!</definedName>
    <definedName name="ParamètresComp" localSheetId="0">#REF!</definedName>
    <definedName name="ParamètresComp">#REF!</definedName>
    <definedName name="PartCERelative">'Coûts nets'!$D$49</definedName>
    <definedName name="PartCoutContenants" localSheetId="0">[1]Paramètres!$C$29</definedName>
    <definedName name="PartCoutContenants">Paramètres!$C$30</definedName>
    <definedName name="PartCoutImprimés" localSheetId="0">[1]Paramètres!$C$28</definedName>
    <definedName name="PartCoutImprimés">Paramètres!$C$29</definedName>
    <definedName name="PartCoutMag" localSheetId="11">[1]Paramètres!#REF!</definedName>
    <definedName name="PartCoutMag">[1]Paramètres!#REF!</definedName>
    <definedName name="PartEEQ" localSheetId="0">[1]Paramètres!$C$14</definedName>
    <definedName name="PartEEQ">Paramètres!$C$14</definedName>
    <definedName name="PartImprimésConj" localSheetId="11">Paramètres!#REF!</definedName>
    <definedName name="PartImprimésConj">Paramètres!#REF!</definedName>
    <definedName name="PartImprimésInd" localSheetId="11">Paramètres!#REF!</definedName>
    <definedName name="PartImprimésInd">Paramètres!#REF!</definedName>
    <definedName name="PartImprimésRelative">'Coûts nets'!$D$48</definedName>
    <definedName name="PartIndustrie" localSheetId="0">[1]Paramètres!$C$13</definedName>
    <definedName name="PartIndustrie">Paramètres!$C$13</definedName>
    <definedName name="PourcMatOrphelines" localSheetId="0">[1]Paramètres!$C$10</definedName>
    <definedName name="PourcMatOrphelines">Paramètres!$C$10</definedName>
    <definedName name="PourcPE" localSheetId="0">[1]Paramètres!$C$11</definedName>
    <definedName name="PourcPE">Paramètres!$C$11</definedName>
    <definedName name="Proportion_autres" localSheetId="11">Paramètres!#REF!</definedName>
    <definedName name="Proportion_autres">Paramètres!#REF!</definedName>
    <definedName name="Proportion_contenants" localSheetId="11">Paramètres!#REF!</definedName>
    <definedName name="Proportion_contenants">Paramètres!#REF!</definedName>
    <definedName name="Proportion_imprimés" localSheetId="11">Paramètres!#REF!</definedName>
    <definedName name="Proportion_imprimés">Paramètres!#REF!</definedName>
    <definedName name="Proportion_Journaux" localSheetId="11">Paramètres!#REF!</definedName>
    <definedName name="Proportion_Journaux">Paramètres!#REF!</definedName>
    <definedName name="ProvCréances" localSheetId="0">[1]Paramètres!$C$19</definedName>
    <definedName name="ProvCréances">Paramètres!$C$19</definedName>
    <definedName name="RabaisCrédit" localSheetId="0">[1]Paramètres!$C$33</definedName>
    <definedName name="RabaisCrédit">Paramètres!$C$34</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0">[1]Déclaration!$C$6:$C$35</definedName>
    <definedName name="rgDéclaration_Matières">Déclaration!$C$6:$C$35</definedName>
    <definedName name="rgDéclaration_NbDécl" localSheetId="0">[1]Déclaration!$D$6:$D$35</definedName>
    <definedName name="rgDéclaration_NbDécl">Déclaration!$D$6:$D$35</definedName>
    <definedName name="rgDéclaration_QtéÉCOD" localSheetId="11">[1]Déclaration!#REF!</definedName>
    <definedName name="rgDéclaration_QtéÉCOD">[1]Déclaration!#REF!</definedName>
    <definedName name="rgDéclaration_QtéFinale" localSheetId="0">[1]Déclaration!$E$6:$E$35</definedName>
    <definedName name="rgDéclaration_QtéFinale">Déclaration!$E$6:$E$35</definedName>
    <definedName name="rgTarif_Matières" localSheetId="0">[1]Tarif!$B$10:$B$50</definedName>
    <definedName name="rgTarif_Matières">Tarif!$C$11:$C$51</definedName>
    <definedName name="rgTarif_TxAmalgamé" localSheetId="11">Tarif!#REF!</definedName>
    <definedName name="rgTarif_TxAmalgamé" localSheetId="0">[1]Tarif!#REF!</definedName>
    <definedName name="rgTarif_TxAmalgamé">Tarif!#REF!</definedName>
    <definedName name="rgTarif_TxFinal" localSheetId="0">[1]Tarif!$L$10:$L$50</definedName>
    <definedName name="rgTarif_TxFinal">Tarif!$P$11:$P$51</definedName>
    <definedName name="TauxStewardship">Paramètres!$B$47:$D$77</definedName>
    <definedName name="TonnageCrédit" localSheetId="0">[1]Paramètres!$C$32</definedName>
    <definedName name="TonnageCrédit">Paramètres!$C$33</definedName>
    <definedName name="_xlnm.Print_Area" localSheetId="4">Caractérisation!#REF!,Caractérisation!#REF!</definedName>
    <definedName name="_xlnm.Print_Area" localSheetId="5">'Coûts nets'!$B$2:$I$52</definedName>
    <definedName name="_xlnm.Print_Area" localSheetId="12">'Crédit contenu recyclé'!$B$1:$K$46</definedName>
    <definedName name="_xlnm.Print_Area" localSheetId="3">Déclaration!$B$2:$E$36</definedName>
    <definedName name="_xlnm.Print_Area" localSheetId="10">'Frais de gestion &amp; RQ'!$A$1:$G$50</definedName>
    <definedName name="_xlnm.Print_Area" localSheetId="11">'Limitation hausse'!$A$1:$H$50</definedName>
    <definedName name="_xlnm.Print_Area" localSheetId="2">Paramètres!$B$1:$I$45</definedName>
    <definedName name="_xlnm.Print_Area" localSheetId="1">'Sommaire exécutif'!$A$1:$K$49</definedName>
    <definedName name="_xlnm.Print_Area" localSheetId="13">Tarif!$B$2:$P$51</definedName>
  </definedNames>
  <calcPr calcId="152511"/>
</workbook>
</file>

<file path=xl/calcChain.xml><?xml version="1.0" encoding="utf-8"?>
<calcChain xmlns="http://schemas.openxmlformats.org/spreadsheetml/2006/main">
  <c r="C15" i="1" l="1"/>
  <c r="C39" i="7"/>
  <c r="N48" i="2"/>
  <c r="N47" i="2"/>
  <c r="N46" i="2"/>
  <c r="N43" i="2"/>
  <c r="N45" i="2" s="1"/>
  <c r="N40" i="2"/>
  <c r="N42" i="2" s="1"/>
  <c r="N38" i="2"/>
  <c r="N33" i="2"/>
  <c r="N28" i="2"/>
  <c r="N39" i="2" s="1"/>
  <c r="N30" i="2"/>
  <c r="N20" i="2"/>
  <c r="N12" i="2"/>
  <c r="N29" i="2"/>
  <c r="N26" i="2"/>
  <c r="N27" i="2" s="1"/>
  <c r="N25" i="2"/>
  <c r="N24" i="2"/>
  <c r="N23" i="2"/>
  <c r="N11" i="2"/>
  <c r="N17" i="2" s="1"/>
  <c r="D46" i="19"/>
  <c r="D45" i="19"/>
  <c r="D43" i="19"/>
  <c r="D42" i="19"/>
  <c r="D40" i="19"/>
  <c r="D39" i="19"/>
  <c r="D37" i="19"/>
  <c r="D36" i="19"/>
  <c r="D35" i="19"/>
  <c r="D34" i="19"/>
  <c r="D33" i="19"/>
  <c r="D32" i="19"/>
  <c r="D31" i="19"/>
  <c r="D30" i="19"/>
  <c r="D29" i="19"/>
  <c r="D28" i="19"/>
  <c r="D27" i="19"/>
  <c r="D25" i="19"/>
  <c r="D24" i="19"/>
  <c r="D23" i="19"/>
  <c r="D22" i="19"/>
  <c r="D21" i="19"/>
  <c r="D20" i="19"/>
  <c r="D19" i="19"/>
  <c r="D15" i="19"/>
  <c r="D14" i="19"/>
  <c r="D13" i="19"/>
  <c r="D12" i="19"/>
  <c r="D11" i="19"/>
  <c r="D10" i="19"/>
  <c r="C46" i="19"/>
  <c r="C45" i="19"/>
  <c r="C43" i="19"/>
  <c r="C42" i="19"/>
  <c r="C40" i="19"/>
  <c r="C39" i="19"/>
  <c r="C37" i="19"/>
  <c r="C36" i="19"/>
  <c r="C35" i="19"/>
  <c r="C34" i="19"/>
  <c r="C33" i="19"/>
  <c r="C32" i="19"/>
  <c r="C31" i="19"/>
  <c r="C30" i="19"/>
  <c r="C29" i="19"/>
  <c r="C28" i="19"/>
  <c r="C27" i="19"/>
  <c r="C25" i="19"/>
  <c r="C24" i="19"/>
  <c r="C23" i="19"/>
  <c r="C22" i="19"/>
  <c r="C21" i="19"/>
  <c r="C20" i="19"/>
  <c r="C19" i="19"/>
  <c r="C15" i="19"/>
  <c r="C14" i="19"/>
  <c r="C13" i="19"/>
  <c r="C12" i="19"/>
  <c r="C11" i="19"/>
  <c r="C10" i="19"/>
  <c r="A50" i="19"/>
  <c r="A48" i="19"/>
  <c r="A47" i="19"/>
  <c r="B46" i="19"/>
  <c r="B45" i="19"/>
  <c r="A45" i="19"/>
  <c r="A44" i="19"/>
  <c r="B43" i="19"/>
  <c r="B42" i="19"/>
  <c r="A42" i="19"/>
  <c r="A41" i="19"/>
  <c r="B40" i="19"/>
  <c r="B39" i="19"/>
  <c r="A39" i="19"/>
  <c r="A38" i="19"/>
  <c r="B37" i="19"/>
  <c r="B36" i="19"/>
  <c r="B35" i="19"/>
  <c r="B34" i="19"/>
  <c r="B33" i="19"/>
  <c r="B32" i="19"/>
  <c r="B31" i="19"/>
  <c r="B30" i="19"/>
  <c r="B29" i="19"/>
  <c r="B28" i="19"/>
  <c r="B27" i="19"/>
  <c r="A27" i="19"/>
  <c r="A26" i="19"/>
  <c r="B25" i="19"/>
  <c r="B24" i="19"/>
  <c r="B23" i="19"/>
  <c r="B22" i="19"/>
  <c r="B21" i="19"/>
  <c r="B20" i="19"/>
  <c r="B19" i="19"/>
  <c r="A19" i="19"/>
  <c r="A18" i="19"/>
  <c r="A16" i="19"/>
  <c r="B15" i="19"/>
  <c r="B14" i="19"/>
  <c r="B13" i="19"/>
  <c r="B12" i="19"/>
  <c r="B11" i="19"/>
  <c r="B10" i="19"/>
  <c r="A9" i="19"/>
  <c r="B7" i="19"/>
  <c r="A7" i="19"/>
  <c r="B5" i="19"/>
  <c r="A5" i="19"/>
  <c r="B4" i="19"/>
  <c r="A4" i="19"/>
  <c r="B3" i="19"/>
  <c r="A3" i="19"/>
  <c r="H20" i="19" l="1"/>
  <c r="H24" i="19"/>
  <c r="N49" i="2"/>
  <c r="N51" i="2" s="1"/>
  <c r="H19" i="19"/>
  <c r="H23" i="19"/>
  <c r="H12" i="19"/>
  <c r="H28" i="19"/>
  <c r="H32" i="19"/>
  <c r="H36" i="19"/>
  <c r="H42" i="19"/>
  <c r="H29" i="19"/>
  <c r="H33" i="19"/>
  <c r="H37" i="19"/>
  <c r="H43" i="19"/>
  <c r="H11" i="19"/>
  <c r="H22" i="19"/>
  <c r="H40" i="19"/>
  <c r="H27" i="19"/>
  <c r="H46" i="19"/>
  <c r="H31" i="19"/>
  <c r="H15" i="19"/>
  <c r="H35" i="19"/>
  <c r="H13" i="19"/>
  <c r="H10" i="19"/>
  <c r="H14" i="19"/>
  <c r="H21" i="19"/>
  <c r="H25" i="19"/>
  <c r="H30" i="19"/>
  <c r="H34" i="19"/>
  <c r="H39" i="19"/>
  <c r="H45" i="19"/>
  <c r="C47" i="19"/>
  <c r="B7" i="12"/>
  <c r="C16" i="19" l="1"/>
  <c r="C26" i="19"/>
  <c r="C38" i="19"/>
  <c r="C44" i="19"/>
  <c r="C41" i="19"/>
  <c r="B51" i="2"/>
  <c r="B49" i="2"/>
  <c r="B48" i="2"/>
  <c r="B46" i="2"/>
  <c r="B45" i="2"/>
  <c r="B43" i="2"/>
  <c r="B42" i="2"/>
  <c r="B40" i="2"/>
  <c r="B39" i="2"/>
  <c r="B28" i="2"/>
  <c r="B27" i="2"/>
  <c r="B20" i="2"/>
  <c r="B19" i="2"/>
  <c r="B17" i="2"/>
  <c r="B10" i="2"/>
  <c r="P8" i="2"/>
  <c r="G8" i="2"/>
  <c r="F8" i="2"/>
  <c r="E8" i="2"/>
  <c r="D8" i="2"/>
  <c r="C8" i="2"/>
  <c r="B8" i="2"/>
  <c r="H4" i="8"/>
  <c r="B46" i="8"/>
  <c r="B44" i="8"/>
  <c r="B43" i="8"/>
  <c r="B41" i="8"/>
  <c r="B40" i="8"/>
  <c r="B38" i="8"/>
  <c r="B37" i="8"/>
  <c r="B35" i="8"/>
  <c r="B34" i="8"/>
  <c r="B23" i="8"/>
  <c r="B22" i="8"/>
  <c r="B15" i="8"/>
  <c r="B14" i="8"/>
  <c r="B12" i="8"/>
  <c r="B5" i="8"/>
  <c r="C4" i="8"/>
  <c r="B4" i="8"/>
  <c r="A50" i="15"/>
  <c r="A48" i="15"/>
  <c r="A47" i="15"/>
  <c r="A45" i="15"/>
  <c r="A44" i="15"/>
  <c r="A42" i="15"/>
  <c r="A41" i="15"/>
  <c r="A39" i="15"/>
  <c r="A38" i="15"/>
  <c r="A27" i="15"/>
  <c r="A26" i="15"/>
  <c r="A19" i="15"/>
  <c r="A18" i="15"/>
  <c r="A16" i="15"/>
  <c r="A9" i="15"/>
  <c r="B7" i="15"/>
  <c r="A7" i="15"/>
  <c r="K7" i="12"/>
  <c r="A52" i="12"/>
  <c r="A50" i="12"/>
  <c r="A48" i="12"/>
  <c r="A47" i="12"/>
  <c r="A45" i="12"/>
  <c r="A44" i="12"/>
  <c r="A42" i="12"/>
  <c r="A41" i="12"/>
  <c r="A39" i="12"/>
  <c r="A38" i="12"/>
  <c r="A27" i="12"/>
  <c r="A26" i="12"/>
  <c r="A19" i="12"/>
  <c r="A18" i="12"/>
  <c r="A16" i="12"/>
  <c r="A9" i="12"/>
  <c r="A7" i="12"/>
  <c r="C48" i="19" l="1"/>
  <c r="C50" i="19" s="1"/>
  <c r="G42" i="8"/>
  <c r="G41" i="8"/>
  <c r="G39" i="8"/>
  <c r="G38" i="8"/>
  <c r="G36" i="8"/>
  <c r="G35" i="8"/>
  <c r="G33" i="8"/>
  <c r="G32" i="8"/>
  <c r="G31" i="8"/>
  <c r="G30" i="8"/>
  <c r="G29" i="8"/>
  <c r="G28" i="8"/>
  <c r="G27" i="8"/>
  <c r="G26" i="8"/>
  <c r="G25" i="8"/>
  <c r="G24" i="8"/>
  <c r="G23" i="8"/>
  <c r="G21" i="8"/>
  <c r="G20" i="8"/>
  <c r="G19" i="8"/>
  <c r="G18" i="8"/>
  <c r="G17" i="8"/>
  <c r="G16" i="8"/>
  <c r="G15" i="8"/>
  <c r="G11" i="8"/>
  <c r="G10" i="8"/>
  <c r="G9" i="8"/>
  <c r="G8" i="8"/>
  <c r="G7" i="8"/>
  <c r="G6" i="8"/>
  <c r="I7" i="13"/>
  <c r="A50" i="13"/>
  <c r="A44" i="13"/>
  <c r="A38" i="13"/>
  <c r="A16" i="13"/>
  <c r="A52" i="13"/>
  <c r="A54" i="11"/>
  <c r="A54" i="12" s="1"/>
  <c r="A53" i="11"/>
  <c r="A53" i="12" s="1"/>
  <c r="A50" i="11"/>
  <c r="A48" i="11"/>
  <c r="A48" i="13" s="1"/>
  <c r="A47" i="11"/>
  <c r="A47" i="13" s="1"/>
  <c r="A45" i="11"/>
  <c r="A45" i="13" s="1"/>
  <c r="A44" i="11"/>
  <c r="A42" i="11"/>
  <c r="A42" i="13" s="1"/>
  <c r="A41" i="11"/>
  <c r="A41" i="13" s="1"/>
  <c r="A39" i="11"/>
  <c r="A39" i="13" s="1"/>
  <c r="A38" i="11"/>
  <c r="A27" i="11"/>
  <c r="A27" i="13" s="1"/>
  <c r="A26" i="11"/>
  <c r="A26" i="13" s="1"/>
  <c r="A9" i="11"/>
  <c r="A9" i="13" s="1"/>
  <c r="A19" i="11"/>
  <c r="A19" i="13" s="1"/>
  <c r="A18" i="11"/>
  <c r="A18" i="13" s="1"/>
  <c r="A16" i="11"/>
  <c r="F7" i="11"/>
  <c r="E7" i="11"/>
  <c r="D7" i="11"/>
  <c r="C7" i="11"/>
  <c r="B7" i="11"/>
  <c r="B7" i="13" s="1"/>
  <c r="A7" i="11"/>
  <c r="A7" i="13" s="1"/>
  <c r="A53" i="13" l="1"/>
  <c r="A54" i="13"/>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C43" i="7" l="1"/>
  <c r="F37" i="4" l="1"/>
  <c r="E37" i="4"/>
  <c r="D37" i="4"/>
  <c r="C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45" i="10" l="1"/>
  <c r="B44" i="10"/>
  <c r="B42" i="10"/>
  <c r="B41" i="10"/>
  <c r="B39" i="10"/>
  <c r="B38" i="10"/>
  <c r="B36" i="10"/>
  <c r="B35" i="10"/>
  <c r="B34" i="10"/>
  <c r="B33" i="10"/>
  <c r="B32" i="10"/>
  <c r="C47" i="2"/>
  <c r="C46" i="2"/>
  <c r="C44" i="2"/>
  <c r="C43" i="2"/>
  <c r="C41" i="2"/>
  <c r="C40" i="2"/>
  <c r="C38" i="2"/>
  <c r="C37" i="2"/>
  <c r="C36" i="2"/>
  <c r="C35" i="2"/>
  <c r="C34" i="2"/>
  <c r="E29" i="8"/>
  <c r="C42" i="8"/>
  <c r="C41" i="8"/>
  <c r="C39" i="8"/>
  <c r="C38" i="8"/>
  <c r="C36" i="8"/>
  <c r="C35" i="8"/>
  <c r="C33" i="8"/>
  <c r="C32" i="8"/>
  <c r="C31" i="8"/>
  <c r="C30" i="8"/>
  <c r="C29" i="8"/>
  <c r="B46" i="15"/>
  <c r="B45" i="15"/>
  <c r="B43" i="15"/>
  <c r="B42" i="15"/>
  <c r="B40" i="15"/>
  <c r="B39" i="15"/>
  <c r="B37" i="15"/>
  <c r="B36" i="15"/>
  <c r="B35" i="15"/>
  <c r="B34" i="15"/>
  <c r="B33" i="15"/>
  <c r="B46" i="12"/>
  <c r="B45" i="12"/>
  <c r="B43" i="12"/>
  <c r="B42" i="12"/>
  <c r="B40" i="12"/>
  <c r="B39" i="12"/>
  <c r="B37" i="12"/>
  <c r="B36" i="12"/>
  <c r="B35" i="12"/>
  <c r="B34" i="12"/>
  <c r="B33" i="12"/>
  <c r="B46" i="13"/>
  <c r="B45" i="13"/>
  <c r="B43" i="13"/>
  <c r="B42" i="13"/>
  <c r="B40" i="13"/>
  <c r="B39" i="13"/>
  <c r="B37" i="13"/>
  <c r="B36" i="13"/>
  <c r="B35" i="13"/>
  <c r="B34" i="13"/>
  <c r="B33" i="13"/>
  <c r="B46" i="11"/>
  <c r="B45" i="11"/>
  <c r="B43" i="11"/>
  <c r="B42" i="11"/>
  <c r="B40" i="11"/>
  <c r="B39" i="11"/>
  <c r="B37" i="11"/>
  <c r="B36" i="11"/>
  <c r="B35" i="11"/>
  <c r="B34" i="11"/>
  <c r="B33" i="11"/>
  <c r="F24" i="17"/>
  <c r="H24" i="17"/>
  <c r="E33" i="19" s="1"/>
  <c r="M24" i="17"/>
  <c r="N24" i="17"/>
  <c r="P24" i="17"/>
  <c r="I24" i="17" l="1"/>
  <c r="J24" i="17" s="1"/>
  <c r="C33" i="15"/>
  <c r="E33" i="15"/>
  <c r="D33" i="13"/>
  <c r="F33" i="13"/>
  <c r="E33" i="13"/>
  <c r="F33" i="12"/>
  <c r="F33" i="11"/>
  <c r="C32" i="10"/>
  <c r="D33" i="15"/>
  <c r="H29" i="8"/>
  <c r="G34" i="2"/>
  <c r="O24" i="17"/>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1" i="7" l="1"/>
  <c r="C40" i="7"/>
  <c r="C9" i="7" l="1"/>
  <c r="C8" i="7"/>
  <c r="C10" i="7" s="1"/>
  <c r="C7" i="7"/>
  <c r="C6" i="7"/>
  <c r="B6" i="7"/>
  <c r="B9" i="1" l="1"/>
  <c r="E36" i="3" l="1"/>
  <c r="P5" i="17" l="1"/>
  <c r="P6" i="17"/>
  <c r="P7" i="17"/>
  <c r="P8" i="17"/>
  <c r="P9" i="17"/>
  <c r="P10" i="17"/>
  <c r="P11" i="17"/>
  <c r="P12" i="17"/>
  <c r="P13" i="17"/>
  <c r="P14" i="17"/>
  <c r="P15" i="17"/>
  <c r="P16" i="17"/>
  <c r="P17" i="17"/>
  <c r="P18" i="17"/>
  <c r="P19" i="17"/>
  <c r="P20" i="17"/>
  <c r="P21" i="17"/>
  <c r="P22" i="17"/>
  <c r="P23" i="17"/>
  <c r="P25" i="17"/>
  <c r="P26" i="17"/>
  <c r="P27" i="17"/>
  <c r="P28" i="17"/>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O30" i="17" l="1"/>
  <c r="O32" i="17"/>
  <c r="O13" i="17"/>
  <c r="O15" i="17"/>
  <c r="O12" i="17"/>
  <c r="O26" i="17"/>
  <c r="O17" i="17"/>
  <c r="O9" i="17"/>
  <c r="O20" i="17"/>
  <c r="O29" i="17"/>
  <c r="O34" i="17"/>
  <c r="O23" i="17"/>
  <c r="O22" i="17"/>
  <c r="O10" i="17"/>
  <c r="O6" i="17"/>
  <c r="O31" i="17"/>
  <c r="O28" i="17"/>
  <c r="O19" i="17"/>
  <c r="O11" i="17"/>
  <c r="O25" i="17"/>
  <c r="O8" i="17"/>
  <c r="O21" i="17"/>
  <c r="O5" i="17"/>
  <c r="O33" i="17"/>
  <c r="O16" i="17"/>
  <c r="O18" i="17"/>
  <c r="O7" i="17"/>
  <c r="O27" i="17"/>
  <c r="N14" i="17" l="1"/>
  <c r="M14" i="17"/>
  <c r="O14" i="17" l="1"/>
  <c r="C4" i="2" l="1"/>
  <c r="B3" i="15"/>
  <c r="C14" i="1" l="1"/>
  <c r="C17" i="7" l="1"/>
  <c r="B3" i="12"/>
  <c r="B3" i="13"/>
  <c r="B3" i="11"/>
  <c r="H12" i="17" l="1"/>
  <c r="E20" i="19" s="1"/>
  <c r="H8" i="17"/>
  <c r="E13" i="19" s="1"/>
  <c r="H13" i="17"/>
  <c r="E21" i="19" s="1"/>
  <c r="H21" i="17"/>
  <c r="E30" i="19" s="1"/>
  <c r="H30" i="17"/>
  <c r="E40" i="19" s="1"/>
  <c r="H31" i="17"/>
  <c r="E42" i="19" s="1"/>
  <c r="H15" i="17"/>
  <c r="E23" i="19" s="1"/>
  <c r="H32" i="17"/>
  <c r="E43" i="19" s="1"/>
  <c r="H16" i="17"/>
  <c r="E24" i="19" s="1"/>
  <c r="H33" i="17"/>
  <c r="E45" i="19" s="1"/>
  <c r="H17" i="17"/>
  <c r="E25" i="19" s="1"/>
  <c r="H34" i="17"/>
  <c r="E46" i="19" s="1"/>
  <c r="H10" i="17"/>
  <c r="E15" i="19" s="1"/>
  <c r="H18" i="17"/>
  <c r="E27" i="19" s="1"/>
  <c r="H27" i="17"/>
  <c r="E36" i="19" s="1"/>
  <c r="H11" i="17"/>
  <c r="E19" i="19" s="1"/>
  <c r="H19" i="17"/>
  <c r="E28" i="19" s="1"/>
  <c r="H28" i="17"/>
  <c r="E37" i="19" s="1"/>
  <c r="H20" i="17"/>
  <c r="E29" i="19" s="1"/>
  <c r="H29" i="17"/>
  <c r="E39" i="19" s="1"/>
  <c r="H6" i="17"/>
  <c r="E11" i="19" s="1"/>
  <c r="H14" i="17"/>
  <c r="E22" i="19" s="1"/>
  <c r="H22" i="17"/>
  <c r="E31" i="19" s="1"/>
  <c r="H7" i="17"/>
  <c r="E12" i="19" s="1"/>
  <c r="H23" i="17"/>
  <c r="E32" i="19" s="1"/>
  <c r="H25" i="17"/>
  <c r="E34" i="19" s="1"/>
  <c r="H9" i="17"/>
  <c r="E14" i="19" s="1"/>
  <c r="H26" i="17"/>
  <c r="E35" i="19"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F6" i="17"/>
  <c r="F22" i="17"/>
  <c r="B3" i="10"/>
  <c r="B5" i="10"/>
  <c r="E47" i="19" l="1"/>
  <c r="E44" i="19"/>
  <c r="E41" i="19"/>
  <c r="E38" i="19"/>
  <c r="E26" i="19"/>
  <c r="I26" i="17"/>
  <c r="J26" i="17" s="1"/>
  <c r="I7" i="17"/>
  <c r="J7" i="17" s="1"/>
  <c r="I29" i="17"/>
  <c r="J29" i="17" s="1"/>
  <c r="I11" i="17"/>
  <c r="J11" i="17" s="1"/>
  <c r="I34" i="17"/>
  <c r="J34" i="17" s="1"/>
  <c r="I32" i="17"/>
  <c r="J32" i="17" s="1"/>
  <c r="I21" i="17"/>
  <c r="J21" i="17" s="1"/>
  <c r="I9" i="17"/>
  <c r="J9" i="17" s="1"/>
  <c r="I22" i="17"/>
  <c r="J22" i="17" s="1"/>
  <c r="I20" i="17"/>
  <c r="J20" i="17" s="1"/>
  <c r="I27" i="17"/>
  <c r="J27" i="17" s="1"/>
  <c r="I17" i="17"/>
  <c r="J17" i="17" s="1"/>
  <c r="I15" i="17"/>
  <c r="J15" i="17" s="1"/>
  <c r="I13" i="17"/>
  <c r="J13" i="17" s="1"/>
  <c r="I25" i="17"/>
  <c r="J25" i="17" s="1"/>
  <c r="I14" i="17"/>
  <c r="J14" i="17" s="1"/>
  <c r="I28" i="17"/>
  <c r="J28" i="17" s="1"/>
  <c r="I18" i="17"/>
  <c r="J18" i="17" s="1"/>
  <c r="I33" i="17"/>
  <c r="J33" i="17" s="1"/>
  <c r="I31" i="17"/>
  <c r="J31" i="17" s="1"/>
  <c r="I8" i="17"/>
  <c r="J8" i="17" s="1"/>
  <c r="I23" i="17"/>
  <c r="J23" i="17" s="1"/>
  <c r="I6" i="17"/>
  <c r="J6" i="17" s="1"/>
  <c r="I19" i="17"/>
  <c r="J19" i="17" s="1"/>
  <c r="I10" i="17"/>
  <c r="J10" i="17" s="1"/>
  <c r="I16" i="17"/>
  <c r="J16" i="17" s="1"/>
  <c r="I30" i="17"/>
  <c r="J30" i="17" s="1"/>
  <c r="I12" i="17"/>
  <c r="J12" i="17" s="1"/>
  <c r="F35" i="17"/>
  <c r="H5" i="17"/>
  <c r="E10" i="19" s="1"/>
  <c r="G35" i="17"/>
  <c r="C5" i="2"/>
  <c r="B4" i="15"/>
  <c r="B4" i="12"/>
  <c r="B4" i="13"/>
  <c r="B4" i="11"/>
  <c r="B4" i="10"/>
  <c r="E48" i="19" l="1"/>
  <c r="E16" i="19"/>
  <c r="E50" i="19" s="1"/>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C28" i="2"/>
  <c r="C26" i="2"/>
  <c r="C25" i="2"/>
  <c r="C24" i="2"/>
  <c r="C23" i="2"/>
  <c r="C22" i="2"/>
  <c r="C21" i="2"/>
  <c r="C20" i="2"/>
  <c r="C16" i="2"/>
  <c r="C15" i="2"/>
  <c r="C14" i="2"/>
  <c r="C13" i="2"/>
  <c r="C12" i="2"/>
  <c r="C11" i="2"/>
  <c r="H42" i="8"/>
  <c r="H41" i="8"/>
  <c r="H39" i="8"/>
  <c r="H38" i="8"/>
  <c r="H36" i="8"/>
  <c r="H35" i="8"/>
  <c r="H33" i="8"/>
  <c r="H32" i="8"/>
  <c r="H31" i="8"/>
  <c r="H30" i="8"/>
  <c r="C28" i="8"/>
  <c r="H28" i="8" s="1"/>
  <c r="C27" i="8"/>
  <c r="H27" i="8" s="1"/>
  <c r="C26" i="8"/>
  <c r="H26" i="8" s="1"/>
  <c r="C25" i="8"/>
  <c r="H25" i="8" s="1"/>
  <c r="C24" i="8"/>
  <c r="H24" i="8" s="1"/>
  <c r="C23" i="8"/>
  <c r="H23" i="8" s="1"/>
  <c r="C21" i="8"/>
  <c r="H21" i="8" s="1"/>
  <c r="C20" i="8"/>
  <c r="H20" i="8" s="1"/>
  <c r="C19" i="8"/>
  <c r="H19" i="8" s="1"/>
  <c r="C18" i="8"/>
  <c r="H18" i="8" s="1"/>
  <c r="C17" i="8"/>
  <c r="H17" i="8" s="1"/>
  <c r="C16" i="8"/>
  <c r="H16" i="8" s="1"/>
  <c r="C15" i="8"/>
  <c r="H15" i="8" s="1"/>
  <c r="C11" i="8"/>
  <c r="H11" i="8" s="1"/>
  <c r="C10" i="8"/>
  <c r="H10" i="8" s="1"/>
  <c r="C9" i="8"/>
  <c r="H9" i="8" s="1"/>
  <c r="C8" i="8"/>
  <c r="H8" i="8" s="1"/>
  <c r="C7" i="8"/>
  <c r="H7" i="8" s="1"/>
  <c r="C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H9" i="10" l="1"/>
  <c r="H37" i="8"/>
  <c r="H43" i="8"/>
  <c r="H34" i="8"/>
  <c r="H22" i="8"/>
  <c r="H40" i="8"/>
  <c r="I46" i="12"/>
  <c r="F46" i="12"/>
  <c r="H39" i="10"/>
  <c r="C39" i="10"/>
  <c r="I15" i="12"/>
  <c r="F15" i="12"/>
  <c r="H10" i="10"/>
  <c r="C10" i="10"/>
  <c r="H21" i="10"/>
  <c r="C21" i="10"/>
  <c r="H30" i="10"/>
  <c r="C30" i="10"/>
  <c r="H41" i="10"/>
  <c r="C41" i="10"/>
  <c r="I19" i="12"/>
  <c r="F19" i="12"/>
  <c r="I28" i="12"/>
  <c r="F28" i="12"/>
  <c r="I37" i="12"/>
  <c r="F37"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I36" i="12"/>
  <c r="F36" i="12"/>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C36" i="15"/>
  <c r="E36" i="15"/>
  <c r="D36" i="15"/>
  <c r="H18" i="10"/>
  <c r="C18" i="10"/>
  <c r="H27" i="10"/>
  <c r="C27" i="10"/>
  <c r="H36" i="10"/>
  <c r="C36" i="10"/>
  <c r="C9" i="10"/>
  <c r="I35" i="12"/>
  <c r="F35" i="12"/>
  <c r="C39" i="15"/>
  <c r="D39" i="15"/>
  <c r="E39" i="15"/>
  <c r="H29" i="10"/>
  <c r="C29" i="10"/>
  <c r="C10" i="15"/>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7" i="15"/>
  <c r="D37" i="15"/>
  <c r="E37" i="15"/>
  <c r="H19" i="10"/>
  <c r="C19" i="10"/>
  <c r="H28" i="10"/>
  <c r="C28" i="10"/>
  <c r="H38" i="10"/>
  <c r="C38" i="10"/>
  <c r="D10" i="15"/>
  <c r="H6" i="8"/>
  <c r="G14" i="2"/>
  <c r="G25" i="2"/>
  <c r="G35" i="2"/>
  <c r="G46" i="2"/>
  <c r="G26" i="2"/>
  <c r="G47" i="2"/>
  <c r="G16" i="2"/>
  <c r="G37" i="2"/>
  <c r="G20" i="2"/>
  <c r="G38" i="2"/>
  <c r="G21" i="2"/>
  <c r="G30" i="2"/>
  <c r="G40" i="2"/>
  <c r="G11" i="2"/>
  <c r="G22" i="2"/>
  <c r="G31" i="2"/>
  <c r="G41" i="2"/>
  <c r="G15" i="2"/>
  <c r="G36" i="2"/>
  <c r="G28" i="2"/>
  <c r="G29" i="2"/>
  <c r="G12" i="2"/>
  <c r="G23" i="2"/>
  <c r="G32" i="2"/>
  <c r="G43" i="2"/>
  <c r="G13" i="2"/>
  <c r="G24" i="2"/>
  <c r="G33" i="2"/>
  <c r="G44" i="2"/>
  <c r="D36" i="3"/>
  <c r="E10" i="10" l="1"/>
  <c r="E23" i="10"/>
  <c r="F44" i="12"/>
  <c r="G42" i="2"/>
  <c r="D47" i="15"/>
  <c r="H44" i="8"/>
  <c r="G48" i="2"/>
  <c r="E47" i="15"/>
  <c r="C47" i="15"/>
  <c r="C41" i="15"/>
  <c r="F41" i="12"/>
  <c r="C25" i="10"/>
  <c r="C46" i="10"/>
  <c r="E41" i="15"/>
  <c r="D38" i="15"/>
  <c r="C37" i="10"/>
  <c r="E44" i="15"/>
  <c r="G39" i="2"/>
  <c r="D41" i="15"/>
  <c r="C38" i="15"/>
  <c r="C44" i="15"/>
  <c r="C43" i="10"/>
  <c r="D26" i="15"/>
  <c r="E16" i="15"/>
  <c r="C16" i="15"/>
  <c r="D16" i="15"/>
  <c r="F47" i="12"/>
  <c r="F16" i="12"/>
  <c r="E26" i="15"/>
  <c r="G45" i="2"/>
  <c r="G27" i="2"/>
  <c r="H12" i="8"/>
  <c r="C26" i="15"/>
  <c r="C15" i="10"/>
  <c r="G17" i="2"/>
  <c r="C40" i="10"/>
  <c r="E38" i="15"/>
  <c r="F38" i="12"/>
  <c r="D44" i="15"/>
  <c r="F26" i="12"/>
  <c r="D23" i="10"/>
  <c r="D10" i="10"/>
  <c r="D11" i="10"/>
  <c r="D33" i="12"/>
  <c r="E32" i="10"/>
  <c r="D33" i="11"/>
  <c r="C33" i="13"/>
  <c r="E34" i="2"/>
  <c r="D32" i="10"/>
  <c r="K24" i="17"/>
  <c r="C33" i="12"/>
  <c r="D34" i="2"/>
  <c r="C33" i="11"/>
  <c r="D36" i="10"/>
  <c r="E36" i="10"/>
  <c r="D38" i="10"/>
  <c r="E38" i="10"/>
  <c r="E12" i="2"/>
  <c r="E40" i="2"/>
  <c r="D12" i="2"/>
  <c r="E25" i="2"/>
  <c r="D38" i="2"/>
  <c r="D40" i="2"/>
  <c r="D13" i="2"/>
  <c r="E38" i="2"/>
  <c r="D25" i="2"/>
  <c r="C11" i="12"/>
  <c r="D37" i="12"/>
  <c r="C39" i="12"/>
  <c r="D11" i="12"/>
  <c r="D39" i="12"/>
  <c r="C24" i="12"/>
  <c r="C37" i="12"/>
  <c r="C12" i="12"/>
  <c r="D24" i="12"/>
  <c r="K28" i="17"/>
  <c r="K27" i="17"/>
  <c r="K31" i="17"/>
  <c r="K16" i="17"/>
  <c r="K29" i="17"/>
  <c r="K6" i="17"/>
  <c r="C37" i="13"/>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6" i="10"/>
  <c r="F23" i="10"/>
  <c r="F48" i="12"/>
  <c r="F50" i="12" s="1"/>
  <c r="F44" i="11"/>
  <c r="C48" i="15"/>
  <c r="C50" i="15" s="1"/>
  <c r="H46" i="8"/>
  <c r="D48" i="15"/>
  <c r="D50" i="15" s="1"/>
  <c r="C47" i="10"/>
  <c r="C49" i="10" s="1"/>
  <c r="E48" i="15"/>
  <c r="E50" i="15" s="1"/>
  <c r="F47" i="11"/>
  <c r="G49" i="2"/>
  <c r="G51" i="2" s="1"/>
  <c r="F26" i="11"/>
  <c r="F41" i="11"/>
  <c r="F38" i="11"/>
  <c r="F16" i="11"/>
  <c r="E33" i="11"/>
  <c r="H33" i="13"/>
  <c r="F34" i="2"/>
  <c r="G32" i="10"/>
  <c r="E33" i="12"/>
  <c r="G33" i="12"/>
  <c r="H33" i="12" s="1"/>
  <c r="J33" i="12" s="1"/>
  <c r="G23" i="10"/>
  <c r="G10" i="10"/>
  <c r="G38" i="10"/>
  <c r="G36" i="10"/>
  <c r="F38" i="2"/>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D37" i="11"/>
  <c r="F12" i="13"/>
  <c r="E12" i="13"/>
  <c r="D12" i="13"/>
  <c r="E32" i="13"/>
  <c r="F32" i="13"/>
  <c r="D32" i="13"/>
  <c r="F13" i="13"/>
  <c r="E13" i="13"/>
  <c r="D13" i="13"/>
  <c r="E24" i="13"/>
  <c r="F24" i="13"/>
  <c r="D24" i="13"/>
  <c r="E34" i="13"/>
  <c r="F34" i="13"/>
  <c r="D34" i="13"/>
  <c r="E45" i="13"/>
  <c r="F45" i="13"/>
  <c r="D45" i="13"/>
  <c r="C39" i="11"/>
  <c r="F37" i="13"/>
  <c r="E37" i="13"/>
  <c r="D37" i="13"/>
  <c r="E11" i="13"/>
  <c r="F11" i="13"/>
  <c r="D11" i="13"/>
  <c r="E14" i="13"/>
  <c r="F14" i="13"/>
  <c r="D14" i="13"/>
  <c r="F25" i="13"/>
  <c r="E25" i="13"/>
  <c r="D25" i="13"/>
  <c r="F35" i="13"/>
  <c r="E35" i="13"/>
  <c r="D35" i="13"/>
  <c r="F46" i="13"/>
  <c r="E46" i="13"/>
  <c r="D46" i="13"/>
  <c r="C24" i="13"/>
  <c r="C37" i="11"/>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38" i="13"/>
  <c r="D47" i="13"/>
  <c r="D16" i="13"/>
  <c r="C33" i="7"/>
  <c r="B5" i="15"/>
  <c r="E10" i="8"/>
  <c r="D48" i="13" l="1"/>
  <c r="D50" i="13" s="1"/>
  <c r="D14" i="10"/>
  <c r="D16" i="2"/>
  <c r="C15" i="12"/>
  <c r="C15" i="11"/>
  <c r="G14" i="13"/>
  <c r="E14" i="10" l="1"/>
  <c r="F14" i="10" s="1"/>
  <c r="E16" i="2"/>
  <c r="C15" i="13"/>
  <c r="D15" i="12"/>
  <c r="D15" i="11"/>
  <c r="K10" i="17"/>
  <c r="G14" i="10" l="1"/>
  <c r="G30" i="13" l="1"/>
  <c r="B5" i="13"/>
  <c r="B5" i="12"/>
  <c r="G8" i="11"/>
  <c r="B5" i="11"/>
  <c r="C12" i="1"/>
  <c r="C24" i="7"/>
  <c r="C28" i="7"/>
  <c r="C27" i="7"/>
  <c r="C6" i="2"/>
  <c r="C15" i="7"/>
  <c r="G45" i="13" l="1"/>
  <c r="C12" i="7"/>
  <c r="C13" i="7" s="1"/>
  <c r="C14" i="7" s="1"/>
  <c r="G35" i="13"/>
  <c r="G15" i="13"/>
  <c r="G28" i="13"/>
  <c r="G32" i="13"/>
  <c r="G37" i="13"/>
  <c r="G12" i="13"/>
  <c r="G20" i="13"/>
  <c r="G22" i="13"/>
  <c r="G24" i="13"/>
  <c r="G42" i="13"/>
  <c r="G39" i="13"/>
  <c r="G27" i="13"/>
  <c r="G29" i="13"/>
  <c r="G31" i="13"/>
  <c r="G34" i="13"/>
  <c r="G36" i="13"/>
  <c r="G10" i="13"/>
  <c r="G13" i="13"/>
  <c r="G19" i="13"/>
  <c r="G21" i="13"/>
  <c r="G23" i="13"/>
  <c r="G25" i="13"/>
  <c r="G46" i="13"/>
  <c r="G43" i="13"/>
  <c r="G40" i="13"/>
  <c r="G11" i="13"/>
  <c r="C29" i="7"/>
  <c r="C16" i="7" l="1"/>
  <c r="C19" i="7" s="1"/>
  <c r="C23" i="7" l="1"/>
  <c r="C25" i="7" s="1"/>
  <c r="C30" i="7" s="1"/>
  <c r="C35" i="7"/>
  <c r="C34" i="7" l="1"/>
  <c r="C36" i="7"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24" i="10" l="1"/>
  <c r="F29" i="10"/>
  <c r="F33" i="10"/>
  <c r="F12"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E6" i="8"/>
  <c r="E8" i="8"/>
  <c r="E9" i="8"/>
  <c r="E11" i="8"/>
  <c r="E15" i="8"/>
  <c r="E16" i="8"/>
  <c r="E17" i="8"/>
  <c r="E18" i="8"/>
  <c r="E19" i="8"/>
  <c r="E20" i="8"/>
  <c r="E21" i="8"/>
  <c r="E41" i="8"/>
  <c r="E42" i="8"/>
  <c r="E38" i="8"/>
  <c r="E39" i="8"/>
  <c r="E35" i="8"/>
  <c r="E36" i="8"/>
  <c r="E23" i="8"/>
  <c r="E24" i="8"/>
  <c r="E25" i="8"/>
  <c r="E26" i="8"/>
  <c r="E27" i="8"/>
  <c r="E28" i="8"/>
  <c r="E30" i="8"/>
  <c r="E31" i="8"/>
  <c r="E32" i="8"/>
  <c r="E33" i="8"/>
  <c r="E7" i="8"/>
  <c r="G15" i="10" l="1"/>
  <c r="G16" i="12"/>
  <c r="F27" i="2"/>
  <c r="E16" i="12"/>
  <c r="H16" i="12"/>
  <c r="E26" i="12"/>
  <c r="H26" i="12"/>
  <c r="F17" i="2"/>
  <c r="G12" i="11"/>
  <c r="G11" i="11"/>
  <c r="G13" i="11"/>
  <c r="G14" i="11"/>
  <c r="G10" i="11"/>
  <c r="C49" i="7"/>
  <c r="C48" i="7"/>
  <c r="G16" i="11" l="1"/>
  <c r="D49" i="7"/>
  <c r="E49" i="7" s="1"/>
  <c r="D48" i="7"/>
  <c r="C50" i="7"/>
  <c r="E48" i="7" l="1"/>
  <c r="F49" i="7"/>
  <c r="G49" i="7" s="1"/>
  <c r="F48" i="7"/>
  <c r="D50" i="7"/>
  <c r="G48" i="7" l="1"/>
  <c r="E50" i="7"/>
  <c r="H49" i="7"/>
  <c r="F50" i="7"/>
  <c r="J54" i="13"/>
  <c r="L54" i="12"/>
  <c r="H54" i="11"/>
  <c r="H48" i="7" l="1"/>
  <c r="L53" i="12"/>
  <c r="J53" i="13"/>
  <c r="H53" i="11"/>
  <c r="G50" i="7"/>
  <c r="H11" i="11" l="1"/>
  <c r="H50" i="7"/>
  <c r="H15" i="11"/>
  <c r="E27" i="10"/>
  <c r="E29" i="2"/>
  <c r="D26" i="10"/>
  <c r="D28" i="2"/>
  <c r="D27" i="10"/>
  <c r="D29" i="2"/>
  <c r="E26" i="10"/>
  <c r="E28" i="2"/>
  <c r="C28" i="12"/>
  <c r="C28" i="11"/>
  <c r="C27" i="12"/>
  <c r="C27" i="11"/>
  <c r="C27" i="13"/>
  <c r="D27" i="11"/>
  <c r="D27" i="12"/>
  <c r="C28" i="13"/>
  <c r="D28" i="11"/>
  <c r="D28" i="12"/>
  <c r="K19" i="17"/>
  <c r="K18" i="17"/>
  <c r="F27" i="10" l="1"/>
  <c r="F26" i="10"/>
  <c r="D43" i="11"/>
  <c r="G26" i="10"/>
  <c r="G27" i="10"/>
  <c r="D43" i="12"/>
  <c r="E44" i="2"/>
  <c r="C43" i="13"/>
  <c r="H43" i="13" s="1"/>
  <c r="E42" i="10"/>
  <c r="E41" i="10"/>
  <c r="E43" i="2"/>
  <c r="D42" i="12"/>
  <c r="D42" i="11"/>
  <c r="C42" i="13"/>
  <c r="D41" i="10"/>
  <c r="D43" i="2"/>
  <c r="C42" i="12"/>
  <c r="C42" i="11"/>
  <c r="D35" i="10"/>
  <c r="C36" i="12"/>
  <c r="D37" i="2"/>
  <c r="C36" i="11"/>
  <c r="E35" i="10"/>
  <c r="E37" i="2"/>
  <c r="D36" i="1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G39" i="12"/>
  <c r="E39" i="12"/>
  <c r="H39" i="13"/>
  <c r="E39" i="11"/>
  <c r="J21" i="12"/>
  <c r="J20" i="12"/>
  <c r="F42" i="10" l="1"/>
  <c r="F41" i="10"/>
  <c r="F28" i="10"/>
  <c r="F34" i="10"/>
  <c r="D40" i="10"/>
  <c r="F40" i="10" s="1"/>
  <c r="F39" i="10"/>
  <c r="F35" i="10"/>
  <c r="E43" i="11"/>
  <c r="D44" i="11"/>
  <c r="D38" i="11"/>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5" i="10"/>
  <c r="G39" i="10"/>
  <c r="G41" i="10"/>
  <c r="F36" i="2"/>
  <c r="F30" i="2"/>
  <c r="F41" i="2"/>
  <c r="F42" i="2" s="1"/>
  <c r="E30" i="11"/>
  <c r="E42" i="12"/>
  <c r="E36" i="11"/>
  <c r="E42" i="11"/>
  <c r="E30" i="12"/>
  <c r="E36" i="12"/>
  <c r="H30" i="12"/>
  <c r="G36" i="12"/>
  <c r="H36" i="12" s="1"/>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D47" i="10" l="1"/>
  <c r="G47" i="10" s="1"/>
  <c r="F46" i="10"/>
  <c r="E49" i="10"/>
  <c r="H47" i="13"/>
  <c r="H48" i="13" s="1"/>
  <c r="H50" i="13" s="1"/>
  <c r="E47" i="12"/>
  <c r="E48" i="12" s="1"/>
  <c r="E50" i="12" s="1"/>
  <c r="E47" i="11"/>
  <c r="E48" i="11" s="1"/>
  <c r="E50" i="11" s="1"/>
  <c r="F48" i="2"/>
  <c r="F49" i="2" s="1"/>
  <c r="F51" i="2" s="1"/>
  <c r="H45" i="12"/>
  <c r="G47" i="12"/>
  <c r="G48" i="12" s="1"/>
  <c r="G50" i="12" s="1"/>
  <c r="G46" i="10"/>
  <c r="D49" i="10" l="1"/>
  <c r="F49" i="10" s="1"/>
  <c r="F47" i="10"/>
  <c r="J45" i="12"/>
  <c r="J47" i="12" s="1"/>
  <c r="H47" i="12"/>
  <c r="H48" i="12" s="1"/>
  <c r="H50" i="12" s="1"/>
  <c r="G33" i="11"/>
  <c r="H33" i="11" s="1"/>
  <c r="G27" i="11"/>
  <c r="G32" i="11"/>
  <c r="G42" i="11"/>
  <c r="G23" i="11"/>
  <c r="G36" i="11"/>
  <c r="G24" i="11"/>
  <c r="G45" i="11"/>
  <c r="G39" i="11"/>
  <c r="G46" i="11"/>
  <c r="G19" i="11"/>
  <c r="G30" i="11"/>
  <c r="H30" i="11" s="1"/>
  <c r="G34" i="11"/>
  <c r="G22" i="11"/>
  <c r="G40" i="11"/>
  <c r="G35" i="11"/>
  <c r="G20" i="11"/>
  <c r="G21" i="11"/>
  <c r="G37"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36" i="12"/>
  <c r="J13" i="12"/>
  <c r="J23" i="12"/>
  <c r="J42" i="12"/>
  <c r="J37" i="12"/>
  <c r="J24" i="12"/>
  <c r="J39" i="12"/>
  <c r="J41" i="12" s="1"/>
  <c r="J19" i="12"/>
  <c r="J44" i="12" l="1"/>
  <c r="G48" i="11"/>
  <c r="J26" i="12"/>
  <c r="J38" i="12"/>
  <c r="I14" i="13"/>
  <c r="J14" i="13" s="1"/>
  <c r="I12" i="13"/>
  <c r="J12" i="13" s="1"/>
  <c r="I11" i="13"/>
  <c r="I13" i="13"/>
  <c r="J13" i="13" s="1"/>
  <c r="I15" i="13"/>
  <c r="J10" i="12"/>
  <c r="I10" i="13"/>
  <c r="I33" i="13"/>
  <c r="J33" i="13" s="1"/>
  <c r="H13" i="11"/>
  <c r="H12" i="11"/>
  <c r="H14" i="11"/>
  <c r="I12" i="2" l="1"/>
  <c r="I16" i="13"/>
  <c r="J48" i="12"/>
  <c r="K33" i="12" s="1"/>
  <c r="L33" i="12" s="1"/>
  <c r="J16" i="12"/>
  <c r="J10" i="13"/>
  <c r="J11" i="2" s="1"/>
  <c r="J15" i="13"/>
  <c r="J11" i="13"/>
  <c r="I21" i="13"/>
  <c r="J21" i="13" s="1"/>
  <c r="I20" i="13"/>
  <c r="J20" i="13" s="1"/>
  <c r="I46" i="13"/>
  <c r="J46" i="13" s="1"/>
  <c r="J47" i="2" s="1"/>
  <c r="I45" i="13"/>
  <c r="I32" i="13"/>
  <c r="J32" i="13" s="1"/>
  <c r="I27" i="13"/>
  <c r="I29" i="13"/>
  <c r="J29" i="13" s="1"/>
  <c r="I34" i="13"/>
  <c r="J34" i="13" s="1"/>
  <c r="I24" i="13"/>
  <c r="J24" i="13" s="1"/>
  <c r="J25" i="2" s="1"/>
  <c r="I25" i="13"/>
  <c r="J25" i="13" s="1"/>
  <c r="J26" i="2" s="1"/>
  <c r="I40" i="13"/>
  <c r="J40" i="13" s="1"/>
  <c r="I19" i="13"/>
  <c r="I37" i="13"/>
  <c r="J37" i="13" s="1"/>
  <c r="J38" i="2" s="1"/>
  <c r="I36" i="13"/>
  <c r="J36" i="13" s="1"/>
  <c r="I35" i="13"/>
  <c r="J35" i="13" s="1"/>
  <c r="I31" i="13"/>
  <c r="J31" i="13" s="1"/>
  <c r="I23" i="13"/>
  <c r="J23" i="13" s="1"/>
  <c r="J24" i="2" s="1"/>
  <c r="I28" i="13"/>
  <c r="J28" i="13" s="1"/>
  <c r="J29" i="2" s="1"/>
  <c r="I39" i="13"/>
  <c r="I41" i="13" s="1"/>
  <c r="I30" i="13"/>
  <c r="J30" i="13" s="1"/>
  <c r="I43" i="13"/>
  <c r="J43" i="13" s="1"/>
  <c r="I22" i="13"/>
  <c r="J22" i="13" s="1"/>
  <c r="J23" i="2" s="1"/>
  <c r="I42" i="13"/>
  <c r="H10" i="11"/>
  <c r="I11" i="2" s="1"/>
  <c r="J33" i="2" l="1"/>
  <c r="J30" i="2"/>
  <c r="J12" i="2"/>
  <c r="I47" i="13"/>
  <c r="J50" i="12"/>
  <c r="K14" i="12"/>
  <c r="L14" i="12" s="1"/>
  <c r="J16" i="13"/>
  <c r="H16" i="11"/>
  <c r="I44" i="13"/>
  <c r="I38" i="13"/>
  <c r="I26" i="13"/>
  <c r="J39" i="13"/>
  <c r="J42" i="13"/>
  <c r="K11" i="12"/>
  <c r="L11" i="12" s="1"/>
  <c r="K12" i="12"/>
  <c r="L12" i="12" s="1"/>
  <c r="K13" i="12"/>
  <c r="L13" i="12" s="1"/>
  <c r="K15" i="12"/>
  <c r="L15" i="12" s="1"/>
  <c r="K21" i="12"/>
  <c r="L21" i="12" s="1"/>
  <c r="K19" i="12"/>
  <c r="K40" i="12"/>
  <c r="L40" i="12" s="1"/>
  <c r="K24" i="12"/>
  <c r="L24" i="12" s="1"/>
  <c r="K25" i="2" s="1"/>
  <c r="K42" i="12"/>
  <c r="K25" i="12"/>
  <c r="L25" i="12" s="1"/>
  <c r="K26" i="2" s="1"/>
  <c r="K36" i="12"/>
  <c r="L36" i="12" s="1"/>
  <c r="K29" i="12"/>
  <c r="L29" i="12" s="1"/>
  <c r="K23" i="12"/>
  <c r="L23" i="12" s="1"/>
  <c r="K24" i="2" s="1"/>
  <c r="K39" i="12"/>
  <c r="K37" i="12"/>
  <c r="L37" i="12" s="1"/>
  <c r="K38" i="2" s="1"/>
  <c r="K30" i="12"/>
  <c r="L30" i="12" s="1"/>
  <c r="K27" i="12"/>
  <c r="K34" i="12"/>
  <c r="L34" i="12" s="1"/>
  <c r="K32" i="12"/>
  <c r="L32" i="12" s="1"/>
  <c r="K35" i="12"/>
  <c r="L35" i="12" s="1"/>
  <c r="K45" i="12"/>
  <c r="K31" i="12"/>
  <c r="L31" i="12" s="1"/>
  <c r="K28" i="12"/>
  <c r="L28" i="12" s="1"/>
  <c r="K29" i="2" s="1"/>
  <c r="K20" i="12"/>
  <c r="L20" i="12" s="1"/>
  <c r="K22" i="12"/>
  <c r="L22" i="12" s="1"/>
  <c r="K23" i="2" s="1"/>
  <c r="K43" i="12"/>
  <c r="L43" i="12" s="1"/>
  <c r="K46" i="12"/>
  <c r="L46" i="12" s="1"/>
  <c r="K47" i="2" s="1"/>
  <c r="K10" i="12"/>
  <c r="J19" i="13"/>
  <c r="J27" i="13"/>
  <c r="J45" i="13"/>
  <c r="J46" i="2" s="1"/>
  <c r="H20" i="11"/>
  <c r="H21" i="11"/>
  <c r="H45" i="11"/>
  <c r="I46" i="2" s="1"/>
  <c r="H46" i="11"/>
  <c r="I47" i="2" s="1"/>
  <c r="H19" i="11"/>
  <c r="H23" i="11"/>
  <c r="I24" i="2" s="1"/>
  <c r="H22" i="11"/>
  <c r="I23" i="2" s="1"/>
  <c r="H40" i="11"/>
  <c r="H37" i="11"/>
  <c r="I38" i="2" s="1"/>
  <c r="H31" i="11"/>
  <c r="H28" i="11"/>
  <c r="I29" i="2" s="1"/>
  <c r="H29" i="11"/>
  <c r="H35" i="11"/>
  <c r="H24" i="11"/>
  <c r="I25" i="2" s="1"/>
  <c r="H25" i="11"/>
  <c r="I26" i="2" s="1"/>
  <c r="H39" i="11"/>
  <c r="H42" i="11"/>
  <c r="H43" i="11"/>
  <c r="H36" i="11"/>
  <c r="H32" i="11"/>
  <c r="H34" i="11"/>
  <c r="I33" i="2" l="1"/>
  <c r="K33" i="2"/>
  <c r="I40" i="2"/>
  <c r="J47" i="13"/>
  <c r="J20" i="2"/>
  <c r="K12" i="2"/>
  <c r="I43" i="2"/>
  <c r="K30" i="2"/>
  <c r="J41" i="13"/>
  <c r="J40" i="2"/>
  <c r="I20" i="2"/>
  <c r="I30" i="2"/>
  <c r="J38" i="13"/>
  <c r="J28" i="2"/>
  <c r="J44" i="13"/>
  <c r="J43" i="2"/>
  <c r="J17" i="2"/>
  <c r="I48" i="13"/>
  <c r="K16" i="12"/>
  <c r="H26" i="11"/>
  <c r="H47" i="11"/>
  <c r="H44" i="11"/>
  <c r="H41" i="11"/>
  <c r="L45" i="12"/>
  <c r="K46" i="2" s="1"/>
  <c r="K47" i="12"/>
  <c r="L42" i="12"/>
  <c r="K44" i="12"/>
  <c r="L39" i="12"/>
  <c r="K41" i="12"/>
  <c r="L27" i="12"/>
  <c r="K38" i="12"/>
  <c r="L19" i="12"/>
  <c r="K26" i="12"/>
  <c r="J26" i="13"/>
  <c r="L10" i="12"/>
  <c r="K11" i="2" s="1"/>
  <c r="H27" i="11"/>
  <c r="I17" i="2" l="1"/>
  <c r="K20" i="2"/>
  <c r="K40" i="2"/>
  <c r="L38" i="12"/>
  <c r="K28" i="2"/>
  <c r="K43" i="2"/>
  <c r="H38" i="11"/>
  <c r="H48" i="11" s="1"/>
  <c r="H50" i="11" s="1"/>
  <c r="I28" i="2"/>
  <c r="J48" i="13"/>
  <c r="J50" i="13" s="1"/>
  <c r="K48" i="12"/>
  <c r="L16" i="12"/>
  <c r="L26" i="12"/>
  <c r="L47" i="12"/>
  <c r="L44" i="12"/>
  <c r="L41" i="12"/>
  <c r="I42" i="2" l="1"/>
  <c r="I48" i="2"/>
  <c r="J39" i="2"/>
  <c r="J48" i="2"/>
  <c r="J27" i="2"/>
  <c r="J45" i="2"/>
  <c r="J42" i="2"/>
  <c r="I39" i="2"/>
  <c r="I27" i="2"/>
  <c r="I45" i="2"/>
  <c r="L48" i="12"/>
  <c r="L50" i="12" s="1"/>
  <c r="K17" i="2" l="1"/>
  <c r="J49" i="2"/>
  <c r="J51" i="2" s="1"/>
  <c r="K42" i="2"/>
  <c r="K45" i="2"/>
  <c r="K48" i="2"/>
  <c r="K27" i="2"/>
  <c r="K39" i="2"/>
  <c r="I49" i="2"/>
  <c r="I51" i="2" l="1"/>
  <c r="K49" i="2"/>
  <c r="K51" i="2" l="1"/>
  <c r="F46" i="15" l="1"/>
  <c r="F25" i="15"/>
  <c r="F21" i="15"/>
  <c r="F45" i="15"/>
  <c r="F19" i="15"/>
  <c r="F20" i="15"/>
  <c r="F23" i="15"/>
  <c r="F24" i="15"/>
  <c r="F22" i="15"/>
  <c r="F42" i="15"/>
  <c r="F43" i="15"/>
  <c r="F40" i="15"/>
  <c r="F39" i="15"/>
  <c r="F10" i="15"/>
  <c r="F12" i="15"/>
  <c r="F13" i="15"/>
  <c r="F11" i="15"/>
  <c r="F15" i="15"/>
  <c r="F14" i="15"/>
  <c r="F41" i="15" l="1"/>
  <c r="F47" i="15"/>
  <c r="F44" i="15"/>
  <c r="F26" i="15"/>
  <c r="F16" i="15"/>
  <c r="G24" i="15"/>
  <c r="H25" i="2" s="1"/>
  <c r="G20" i="15"/>
  <c r="G39" i="15"/>
  <c r="G19" i="15"/>
  <c r="G13" i="15"/>
  <c r="G23" i="15"/>
  <c r="H24" i="2" s="1"/>
  <c r="G40" i="15"/>
  <c r="G43" i="15"/>
  <c r="G15" i="15"/>
  <c r="G42" i="15"/>
  <c r="G25" i="15"/>
  <c r="H26" i="2" s="1"/>
  <c r="G12" i="15"/>
  <c r="G10" i="15"/>
  <c r="H11" i="2" s="1"/>
  <c r="G45" i="15"/>
  <c r="H46" i="2" s="1"/>
  <c r="G14" i="15"/>
  <c r="G21" i="15"/>
  <c r="G22" i="15"/>
  <c r="H23" i="2" s="1"/>
  <c r="G46" i="15"/>
  <c r="H47" i="2" s="1"/>
  <c r="G11" i="15"/>
  <c r="H43" i="2" l="1"/>
  <c r="F42" i="19" s="1"/>
  <c r="H40" i="2"/>
  <c r="F39" i="19" s="1"/>
  <c r="H12" i="2"/>
  <c r="H20" i="2"/>
  <c r="F25" i="19"/>
  <c r="F23" i="19"/>
  <c r="F24" i="19"/>
  <c r="G47" i="15"/>
  <c r="G44" i="15"/>
  <c r="G41" i="15"/>
  <c r="G26" i="15"/>
  <c r="G16" i="15"/>
  <c r="F10" i="19" l="1"/>
  <c r="F14" i="19"/>
  <c r="F13" i="19"/>
  <c r="F15" i="19"/>
  <c r="F11" i="19"/>
  <c r="F12" i="19"/>
  <c r="F46" i="19"/>
  <c r="F21" i="19"/>
  <c r="F20" i="19"/>
  <c r="F19" i="19"/>
  <c r="H17" i="2"/>
  <c r="F45" i="19"/>
  <c r="F22" i="19"/>
  <c r="J10" i="19" l="1"/>
  <c r="I10" i="19"/>
  <c r="G10" i="19"/>
  <c r="H45" i="2"/>
  <c r="H48" i="2"/>
  <c r="H27" i="2"/>
  <c r="G24" i="19" l="1"/>
  <c r="I24" i="19"/>
  <c r="J24" i="19"/>
  <c r="G13" i="19"/>
  <c r="J13" i="19"/>
  <c r="I13" i="19"/>
  <c r="G25" i="19"/>
  <c r="J25" i="19"/>
  <c r="I25" i="19"/>
  <c r="G12" i="19"/>
  <c r="J12" i="19"/>
  <c r="I12" i="19"/>
  <c r="G46" i="19"/>
  <c r="I46" i="19"/>
  <c r="J46" i="19"/>
  <c r="J42" i="19"/>
  <c r="I42" i="19"/>
  <c r="G11" i="19"/>
  <c r="I11" i="19"/>
  <c r="J11" i="19"/>
  <c r="G14" i="19"/>
  <c r="J14" i="19"/>
  <c r="I14" i="19"/>
  <c r="G23" i="19"/>
  <c r="J23" i="19"/>
  <c r="I23" i="19"/>
  <c r="J39" i="19"/>
  <c r="I39" i="19"/>
  <c r="G15" i="19"/>
  <c r="J15" i="19"/>
  <c r="I15" i="19"/>
  <c r="G39" i="19"/>
  <c r="F40" i="19"/>
  <c r="F43" i="19"/>
  <c r="G42" i="19"/>
  <c r="I16" i="19" l="1"/>
  <c r="G45" i="19"/>
  <c r="J45" i="19"/>
  <c r="I45" i="19"/>
  <c r="I47" i="19" s="1"/>
  <c r="J16" i="19"/>
  <c r="K10" i="19" s="1"/>
  <c r="G21" i="19"/>
  <c r="J21" i="19"/>
  <c r="I21" i="19"/>
  <c r="G19" i="19"/>
  <c r="J19" i="19"/>
  <c r="I19" i="19"/>
  <c r="G22" i="19"/>
  <c r="I22" i="19"/>
  <c r="J22" i="19"/>
  <c r="G43" i="19"/>
  <c r="I43" i="19"/>
  <c r="I44" i="19" s="1"/>
  <c r="J43" i="19"/>
  <c r="J44" i="19" s="1"/>
  <c r="G20" i="19"/>
  <c r="I20" i="19"/>
  <c r="J20" i="19"/>
  <c r="G40" i="19"/>
  <c r="I40" i="19"/>
  <c r="I41" i="19" s="1"/>
  <c r="J40" i="19"/>
  <c r="J41" i="19" s="1"/>
  <c r="L10" i="19" l="1"/>
  <c r="L11" i="2" s="1"/>
  <c r="I6" i="8" s="1"/>
  <c r="J6" i="8" s="1"/>
  <c r="K6" i="8" s="1"/>
  <c r="K13" i="19"/>
  <c r="L13" i="19" s="1"/>
  <c r="K15" i="19"/>
  <c r="L15" i="19" s="1"/>
  <c r="I26" i="19"/>
  <c r="J26" i="19"/>
  <c r="K12" i="19"/>
  <c r="L12" i="19" s="1"/>
  <c r="K11" i="19"/>
  <c r="J47" i="19"/>
  <c r="K14" i="19"/>
  <c r="L14" i="19" s="1"/>
  <c r="M11" i="2" l="1"/>
  <c r="O11" i="2" s="1"/>
  <c r="K16" i="19"/>
  <c r="L11" i="19"/>
  <c r="L12" i="2" s="1"/>
  <c r="I7" i="8" l="1"/>
  <c r="I8" i="8" s="1"/>
  <c r="P11" i="2"/>
  <c r="L17" i="2"/>
  <c r="L16" i="19"/>
  <c r="F33" i="15"/>
  <c r="J7" i="8" l="1"/>
  <c r="K7" i="8" s="1"/>
  <c r="I9" i="8"/>
  <c r="J8" i="8"/>
  <c r="K8" i="8" s="1"/>
  <c r="G33" i="15"/>
  <c r="F36" i="15"/>
  <c r="F30" i="15"/>
  <c r="F29" i="15"/>
  <c r="F31" i="15"/>
  <c r="F35" i="15"/>
  <c r="F32" i="15"/>
  <c r="F37" i="15"/>
  <c r="F27" i="15"/>
  <c r="F28" i="15"/>
  <c r="F34" i="15"/>
  <c r="I10" i="8" l="1"/>
  <c r="J9" i="8"/>
  <c r="K9" i="8" s="1"/>
  <c r="F38" i="15"/>
  <c r="F48" i="15" s="1"/>
  <c r="F50" i="15" s="1"/>
  <c r="G27" i="15"/>
  <c r="G32" i="15"/>
  <c r="G28" i="15"/>
  <c r="H29" i="2" s="1"/>
  <c r="G35" i="15"/>
  <c r="G29" i="15"/>
  <c r="G36" i="15"/>
  <c r="G37" i="15"/>
  <c r="H38" i="2" s="1"/>
  <c r="G31" i="15"/>
  <c r="G34" i="15"/>
  <c r="G30" i="15"/>
  <c r="I11" i="8" l="1"/>
  <c r="J11" i="8" s="1"/>
  <c r="K11" i="8" s="1"/>
  <c r="J10" i="8"/>
  <c r="K10" i="8" s="1"/>
  <c r="H33" i="2"/>
  <c r="H30" i="2"/>
  <c r="H28" i="2"/>
  <c r="F28" i="19"/>
  <c r="H42" i="2"/>
  <c r="G38" i="15"/>
  <c r="G48" i="15" s="1"/>
  <c r="G50" i="15" s="1"/>
  <c r="M12" i="2" l="1"/>
  <c r="O12" i="2" s="1"/>
  <c r="K12" i="8"/>
  <c r="F29" i="19"/>
  <c r="F30" i="19"/>
  <c r="F31" i="19"/>
  <c r="F32" i="19"/>
  <c r="J32" i="19" s="1"/>
  <c r="F37" i="19"/>
  <c r="F27" i="19"/>
  <c r="J27" i="19" s="1"/>
  <c r="F35" i="19"/>
  <c r="J35" i="19" s="1"/>
  <c r="I32" i="19" l="1"/>
  <c r="M17" i="2"/>
  <c r="O17" i="2"/>
  <c r="P12" i="2"/>
  <c r="P13" i="2" s="1"/>
  <c r="P14" i="2" s="1"/>
  <c r="P15" i="2" s="1"/>
  <c r="P16" i="2" s="1"/>
  <c r="F33" i="19"/>
  <c r="G33" i="19" s="1"/>
  <c r="G32" i="19"/>
  <c r="F34" i="19"/>
  <c r="G34" i="19" s="1"/>
  <c r="I27" i="19"/>
  <c r="I29" i="19"/>
  <c r="J29" i="19"/>
  <c r="G28" i="19"/>
  <c r="J28" i="19"/>
  <c r="I28" i="19"/>
  <c r="G27" i="19"/>
  <c r="G29" i="19"/>
  <c r="H39" i="2"/>
  <c r="I34" i="19" l="1"/>
  <c r="J33" i="19"/>
  <c r="I33" i="19"/>
  <c r="J34" i="19"/>
  <c r="F36" i="19"/>
  <c r="J36" i="19" s="1"/>
  <c r="G37" i="19"/>
  <c r="I37" i="19"/>
  <c r="J37" i="19"/>
  <c r="G31" i="19"/>
  <c r="I31" i="19"/>
  <c r="J31" i="19"/>
  <c r="G30" i="19"/>
  <c r="J30" i="19"/>
  <c r="I30" i="19"/>
  <c r="G35" i="19"/>
  <c r="I35" i="19"/>
  <c r="H49" i="2"/>
  <c r="G36" i="19" l="1"/>
  <c r="I36" i="19"/>
  <c r="I38" i="19" s="1"/>
  <c r="I48" i="19" s="1"/>
  <c r="I50" i="19" s="1"/>
  <c r="J38" i="19"/>
  <c r="J48" i="19" s="1"/>
  <c r="K31" i="19" s="1"/>
  <c r="H51" i="2"/>
  <c r="L31" i="19" l="1"/>
  <c r="K36" i="19"/>
  <c r="L36" i="19" s="1"/>
  <c r="K30" i="19"/>
  <c r="L30" i="19" s="1"/>
  <c r="K37" i="19"/>
  <c r="L37" i="19" s="1"/>
  <c r="L38" i="2" s="1"/>
  <c r="K35" i="19"/>
  <c r="L35" i="19" s="1"/>
  <c r="K46" i="19"/>
  <c r="L46" i="19" s="1"/>
  <c r="L47" i="2" s="1"/>
  <c r="K39" i="19"/>
  <c r="L39" i="19" s="1"/>
  <c r="K24" i="19"/>
  <c r="L24" i="19" s="1"/>
  <c r="L25" i="2" s="1"/>
  <c r="K25" i="19"/>
  <c r="L25" i="19" s="1"/>
  <c r="L26" i="2" s="1"/>
  <c r="K23" i="19"/>
  <c r="L23" i="19" s="1"/>
  <c r="L24" i="2" s="1"/>
  <c r="K42" i="19"/>
  <c r="L42" i="19" s="1"/>
  <c r="K20" i="19"/>
  <c r="L20" i="19" s="1"/>
  <c r="K40" i="19"/>
  <c r="L40" i="19" s="1"/>
  <c r="K22" i="19"/>
  <c r="L22" i="19" s="1"/>
  <c r="L23" i="2" s="1"/>
  <c r="K45" i="19"/>
  <c r="L45" i="19" s="1"/>
  <c r="L46" i="2" s="1"/>
  <c r="K19" i="19"/>
  <c r="L19" i="19" s="1"/>
  <c r="K43" i="19"/>
  <c r="L43" i="19" s="1"/>
  <c r="K21" i="19"/>
  <c r="L21" i="19" s="1"/>
  <c r="J50" i="19"/>
  <c r="K32" i="19"/>
  <c r="L32" i="19" s="1"/>
  <c r="K33" i="19"/>
  <c r="L33" i="19" s="1"/>
  <c r="K34" i="19"/>
  <c r="L34" i="19" s="1"/>
  <c r="K27" i="19"/>
  <c r="L27" i="19" s="1"/>
  <c r="K29" i="19"/>
  <c r="L29" i="19" s="1"/>
  <c r="K28" i="19"/>
  <c r="L28" i="19" s="1"/>
  <c r="L29" i="2" s="1"/>
  <c r="L33" i="2" l="1"/>
  <c r="I20" i="8"/>
  <c r="J20" i="8" s="1"/>
  <c r="K20" i="8" s="1"/>
  <c r="I41" i="8"/>
  <c r="J41" i="8" s="1"/>
  <c r="K41" i="8" s="1"/>
  <c r="I18" i="8"/>
  <c r="J18" i="8" s="1"/>
  <c r="K18" i="8" s="1"/>
  <c r="I19" i="8"/>
  <c r="J19" i="8" s="1"/>
  <c r="K19" i="8" s="1"/>
  <c r="I42" i="8"/>
  <c r="J42" i="8" s="1"/>
  <c r="K42" i="8" s="1"/>
  <c r="I33" i="8"/>
  <c r="J33" i="8" s="1"/>
  <c r="K33" i="8" s="1"/>
  <c r="I24" i="8"/>
  <c r="J24" i="8" s="1"/>
  <c r="K24" i="8" s="1"/>
  <c r="I21" i="8"/>
  <c r="J21" i="8" s="1"/>
  <c r="K21" i="8" s="1"/>
  <c r="L30" i="2"/>
  <c r="L20" i="2"/>
  <c r="L48" i="2"/>
  <c r="L43" i="2"/>
  <c r="L40" i="2"/>
  <c r="L28" i="2"/>
  <c r="K47" i="19"/>
  <c r="L47" i="19"/>
  <c r="K41" i="19"/>
  <c r="L41" i="19"/>
  <c r="L44" i="19"/>
  <c r="K44" i="19"/>
  <c r="K26" i="19"/>
  <c r="L38" i="19"/>
  <c r="K38" i="19"/>
  <c r="M29" i="2" l="1"/>
  <c r="O29" i="2" s="1"/>
  <c r="P29" i="2" s="1"/>
  <c r="M23" i="2"/>
  <c r="O23" i="2" s="1"/>
  <c r="P23" i="2" s="1"/>
  <c r="M46" i="2"/>
  <c r="O46" i="2" s="1"/>
  <c r="M47" i="2"/>
  <c r="O47" i="2" s="1"/>
  <c r="P47" i="2" s="1"/>
  <c r="M25" i="2"/>
  <c r="O25" i="2" s="1"/>
  <c r="P25" i="2" s="1"/>
  <c r="I23" i="10" s="1"/>
  <c r="K23" i="10" s="1"/>
  <c r="M26" i="2"/>
  <c r="O26" i="2" s="1"/>
  <c r="P26" i="2" s="1"/>
  <c r="M24" i="2"/>
  <c r="O24" i="2" s="1"/>
  <c r="P24" i="2" s="1"/>
  <c r="I15" i="8"/>
  <c r="I17" i="8" s="1"/>
  <c r="J17" i="8" s="1"/>
  <c r="K17" i="8" s="1"/>
  <c r="I28" i="8"/>
  <c r="I35" i="8"/>
  <c r="I36" i="8" s="1"/>
  <c r="J36" i="8" s="1"/>
  <c r="K36" i="8" s="1"/>
  <c r="I38" i="8"/>
  <c r="I39" i="8" s="1"/>
  <c r="J39" i="8" s="1"/>
  <c r="K39" i="8" s="1"/>
  <c r="I23" i="8"/>
  <c r="M38" i="2"/>
  <c r="I25" i="8"/>
  <c r="L45" i="2"/>
  <c r="L42" i="2"/>
  <c r="L27" i="2"/>
  <c r="L39" i="2"/>
  <c r="L26" i="19"/>
  <c r="L48" i="19" s="1"/>
  <c r="K48" i="19"/>
  <c r="I22" i="10" l="1"/>
  <c r="K22" i="10" s="1"/>
  <c r="J15" i="8"/>
  <c r="K15" i="8" s="1"/>
  <c r="M48" i="2"/>
  <c r="J35" i="8"/>
  <c r="K35" i="8" s="1"/>
  <c r="I45" i="10"/>
  <c r="K45" i="10" s="1"/>
  <c r="J38" i="8"/>
  <c r="K38" i="8" s="1"/>
  <c r="I21" i="10"/>
  <c r="K21" i="10" s="1"/>
  <c r="I16" i="8"/>
  <c r="J16" i="8" s="1"/>
  <c r="K16" i="8" s="1"/>
  <c r="I24" i="10"/>
  <c r="K24" i="10" s="1"/>
  <c r="I27" i="10"/>
  <c r="K27" i="10" s="1"/>
  <c r="I30" i="8"/>
  <c r="J30" i="8" s="1"/>
  <c r="K30" i="8" s="1"/>
  <c r="J28" i="8"/>
  <c r="K28" i="8" s="1"/>
  <c r="I32" i="8"/>
  <c r="J32" i="8" s="1"/>
  <c r="K32" i="8" s="1"/>
  <c r="O38" i="2"/>
  <c r="P38" i="2" s="1"/>
  <c r="I36" i="10" s="1"/>
  <c r="K36" i="10" s="1"/>
  <c r="I29" i="8"/>
  <c r="J29" i="8" s="1"/>
  <c r="K29" i="8" s="1"/>
  <c r="I27" i="8"/>
  <c r="J27" i="8" s="1"/>
  <c r="K27" i="8" s="1"/>
  <c r="I26" i="8"/>
  <c r="J26" i="8" s="1"/>
  <c r="K26" i="8" s="1"/>
  <c r="J25" i="8"/>
  <c r="K25" i="8" s="1"/>
  <c r="P46" i="2"/>
  <c r="O48" i="2"/>
  <c r="I31" i="8"/>
  <c r="J31" i="8" s="1"/>
  <c r="K31" i="8" s="1"/>
  <c r="J23" i="8"/>
  <c r="K23" i="8" s="1"/>
  <c r="L49" i="2"/>
  <c r="L51" i="2" s="1"/>
  <c r="L50" i="19"/>
  <c r="I11" i="10"/>
  <c r="K11" i="10" s="1"/>
  <c r="I13" i="10"/>
  <c r="K13" i="10" s="1"/>
  <c r="P17" i="2"/>
  <c r="I14" i="10"/>
  <c r="M40" i="2" l="1"/>
  <c r="O40" i="2" s="1"/>
  <c r="K22" i="8"/>
  <c r="M20" i="2"/>
  <c r="O20" i="2" s="1"/>
  <c r="M28" i="2"/>
  <c r="O28" i="2" s="1"/>
  <c r="P28" i="2" s="1"/>
  <c r="M43" i="2"/>
  <c r="O43" i="2" s="1"/>
  <c r="M33" i="2"/>
  <c r="M30" i="2"/>
  <c r="P48" i="2"/>
  <c r="I46" i="10" s="1"/>
  <c r="K46" i="10" s="1"/>
  <c r="I44" i="10"/>
  <c r="K44" i="10" s="1"/>
  <c r="K34" i="8"/>
  <c r="I12" i="10"/>
  <c r="I10" i="10"/>
  <c r="K14" i="10"/>
  <c r="M42" i="2" l="1"/>
  <c r="M45" i="2"/>
  <c r="M27" i="2"/>
  <c r="O33" i="2"/>
  <c r="P33" i="2" s="1"/>
  <c r="O30" i="2"/>
  <c r="P30" i="2" s="1"/>
  <c r="O42" i="2"/>
  <c r="P40" i="2"/>
  <c r="P20" i="2"/>
  <c r="O27" i="2"/>
  <c r="K37" i="8"/>
  <c r="M39" i="2"/>
  <c r="O45" i="2"/>
  <c r="P43" i="2"/>
  <c r="K12" i="10"/>
  <c r="K10" i="10"/>
  <c r="I9" i="10"/>
  <c r="P31" i="2" l="1"/>
  <c r="I28" i="10"/>
  <c r="K28" i="10" s="1"/>
  <c r="P32" i="2"/>
  <c r="P35" i="2"/>
  <c r="P37" i="2"/>
  <c r="P34" i="2"/>
  <c r="I31" i="10"/>
  <c r="K31" i="10" s="1"/>
  <c r="K40" i="8"/>
  <c r="K43" i="8" s="1"/>
  <c r="P44" i="2"/>
  <c r="P45" i="2" s="1"/>
  <c r="I43" i="10" s="1"/>
  <c r="K43" i="10" s="1"/>
  <c r="I41" i="10"/>
  <c r="K41" i="10" s="1"/>
  <c r="O39" i="2"/>
  <c r="O49" i="2" s="1"/>
  <c r="O51" i="2" s="1"/>
  <c r="P22" i="2"/>
  <c r="P21" i="2"/>
  <c r="I18" i="10"/>
  <c r="K18" i="10" s="1"/>
  <c r="M49" i="2"/>
  <c r="M51" i="2" s="1"/>
  <c r="P41" i="2"/>
  <c r="P42" i="2" s="1"/>
  <c r="I40" i="10" s="1"/>
  <c r="K40" i="10" s="1"/>
  <c r="I38" i="10"/>
  <c r="K38" i="10" s="1"/>
  <c r="K9" i="10"/>
  <c r="I15" i="10"/>
  <c r="I33" i="10" l="1"/>
  <c r="K33" i="10" s="1"/>
  <c r="I29" i="10"/>
  <c r="K29" i="10" s="1"/>
  <c r="I32" i="10"/>
  <c r="K32" i="10" s="1"/>
  <c r="I35" i="10"/>
  <c r="K35" i="10" s="1"/>
  <c r="I30" i="10"/>
  <c r="K30" i="10" s="1"/>
  <c r="K44" i="8"/>
  <c r="K46" i="8" s="1"/>
  <c r="I19" i="10"/>
  <c r="K19" i="10" s="1"/>
  <c r="I39" i="10"/>
  <c r="K39" i="10" s="1"/>
  <c r="P27" i="2"/>
  <c r="I25" i="10" s="1"/>
  <c r="K25" i="10" s="1"/>
  <c r="I20" i="10"/>
  <c r="K20" i="10" s="1"/>
  <c r="P36" i="2"/>
  <c r="P39" i="2" s="1"/>
  <c r="I26" i="10"/>
  <c r="K26" i="10" s="1"/>
  <c r="I42" i="10"/>
  <c r="K42" i="10" s="1"/>
  <c r="K15" i="10"/>
  <c r="I34" i="10" l="1"/>
  <c r="K34" i="10" s="1"/>
  <c r="P49" i="2"/>
  <c r="I37" i="10"/>
  <c r="K37" i="10" s="1"/>
  <c r="P51" i="2" l="1"/>
  <c r="I49" i="10" s="1"/>
  <c r="K49" i="10" s="1"/>
  <c r="I47" i="10"/>
  <c r="K47" i="10" s="1"/>
</calcChain>
</file>

<file path=xl/sharedStrings.xml><?xml version="1.0" encoding="utf-8"?>
<sst xmlns="http://schemas.openxmlformats.org/spreadsheetml/2006/main" count="473" uniqueCount="235">
  <si>
    <t>Paramètres</t>
  </si>
  <si>
    <t>Imprimés</t>
  </si>
  <si>
    <t>% de provision pour mauvaises créances</t>
  </si>
  <si>
    <t>Répartition des coûts nets par catégorie</t>
  </si>
  <si>
    <t>Contenants et emballages</t>
  </si>
  <si>
    <t>Magazines</t>
  </si>
  <si>
    <t>Crédit contenu recyclé</t>
  </si>
  <si>
    <t>Encarts et circulaires imprimés sur du papier journal</t>
  </si>
  <si>
    <t>Catalogues et publications</t>
  </si>
  <si>
    <t>Annuaires téléphoniques</t>
  </si>
  <si>
    <t>Autres imprimés</t>
  </si>
  <si>
    <t>Papier à usage général</t>
  </si>
  <si>
    <t>Carton ondulé</t>
  </si>
  <si>
    <t>Carton plat et autres emballages de papier</t>
  </si>
  <si>
    <t>Contenants à pignon</t>
  </si>
  <si>
    <t>Laminés de papier</t>
  </si>
  <si>
    <t>Contenants aseptiques</t>
  </si>
  <si>
    <t>Verre</t>
  </si>
  <si>
    <t>Verre clair</t>
  </si>
  <si>
    <t>Verre coloré</t>
  </si>
  <si>
    <t>Autres contenants en acier</t>
  </si>
  <si>
    <t>Autres contenants et emballages en aluminium</t>
  </si>
  <si>
    <t>Plastique</t>
  </si>
  <si>
    <t>Plastiques stratifiés</t>
  </si>
  <si>
    <t>Bouteilles PET</t>
  </si>
  <si>
    <t>Bouteilles HDPE</t>
  </si>
  <si>
    <t>Pellicules HDPE et LDPE</t>
  </si>
  <si>
    <t>Polystyrène non expansé</t>
  </si>
  <si>
    <t>Autres plastiques, polymères et polyuréthanne</t>
  </si>
  <si>
    <t>IMPRIMÉS</t>
  </si>
  <si>
    <t>CONTENANTS ET EMBALLAGES</t>
  </si>
  <si>
    <t>IMPRIMÉS TOTAL</t>
  </si>
  <si>
    <t>Verre TOTAL</t>
  </si>
  <si>
    <t>Plastique TOTAL</t>
  </si>
  <si>
    <t>CONTENANTS ET EMBALLAGES TOTAL</t>
  </si>
  <si>
    <t>TOTAL</t>
  </si>
  <si>
    <t>Matières</t>
  </si>
  <si>
    <t>Papier/carton</t>
  </si>
  <si>
    <t>Acier</t>
  </si>
  <si>
    <t>Aluminium</t>
  </si>
  <si>
    <t>Total</t>
  </si>
  <si>
    <t>Tous</t>
  </si>
  <si>
    <t>Provision pour mauvaises créances</t>
  </si>
  <si>
    <t>Catégorie</t>
  </si>
  <si>
    <t>Total (assumé par ÉEQ)</t>
  </si>
  <si>
    <t>Frais de gestion imputés</t>
  </si>
  <si>
    <t>POIDS DES FACTEURS</t>
  </si>
  <si>
    <t>Objectif de récupération (Facteur 3)</t>
  </si>
  <si>
    <t>Application du crédit</t>
  </si>
  <si>
    <t>Oui</t>
  </si>
  <si>
    <t>Non</t>
  </si>
  <si>
    <t>Anticipé</t>
  </si>
  <si>
    <t>Utilisé pour calcul</t>
  </si>
  <si>
    <t>Scénario</t>
  </si>
  <si>
    <t>Tarif</t>
  </si>
  <si>
    <t>Année de référence</t>
  </si>
  <si>
    <t>Facteurs</t>
  </si>
  <si>
    <t>Aluminium TOTAL</t>
  </si>
  <si>
    <t>Facteur 1</t>
  </si>
  <si>
    <t>Facteur 2</t>
  </si>
  <si>
    <t>Facteur 3</t>
  </si>
  <si>
    <t>Sommaire exécutif</t>
  </si>
  <si>
    <t>Coûts nets estimés</t>
  </si>
  <si>
    <t>Part assumée par l'industrie</t>
  </si>
  <si>
    <t>Part assumée par ÉEQ</t>
  </si>
  <si>
    <t>Frais d'administration - ÉEQ</t>
  </si>
  <si>
    <t>Fonds de risque</t>
  </si>
  <si>
    <t>Provision et Fonds de risque</t>
  </si>
  <si>
    <t>POIDS DU FACTEUR 1 :</t>
  </si>
  <si>
    <t>Coûts nets</t>
  </si>
  <si>
    <t>POIDS DU FACTEUR 2 :</t>
  </si>
  <si>
    <t>POIDS DU FACTEUR 3 :</t>
  </si>
  <si>
    <t>Allocation des coûts du facteur par catégorie</t>
  </si>
  <si>
    <t>Proportion par catégorie
(%)</t>
  </si>
  <si>
    <t>Coûts nets &amp; part de l'industrie</t>
  </si>
  <si>
    <t>Total Coûts nets</t>
  </si>
  <si>
    <t>Coûts nets assumés par l'industrie</t>
  </si>
  <si>
    <t>Coûts nets assumés par ÉEQ</t>
  </si>
  <si>
    <t>Coûts nets et frais de gestion</t>
  </si>
  <si>
    <t>Provision et fonds de risque</t>
  </si>
  <si>
    <t xml:space="preserve">Tarif </t>
  </si>
  <si>
    <t>Comparaison année précédente</t>
  </si>
  <si>
    <t>Total Facteur 1
($)</t>
  </si>
  <si>
    <t>Total Facteur 2
($)</t>
  </si>
  <si>
    <t>Total Facteur 3
($)</t>
  </si>
  <si>
    <t>Coût total
($)</t>
  </si>
  <si>
    <t>Coût Facteur 2
($)</t>
  </si>
  <si>
    <t xml:space="preserve">Objectif de récupération
(tonnes) </t>
  </si>
  <si>
    <t>Tonnage manquant
(tonnes)</t>
  </si>
  <si>
    <t>Coûts nets pour atteindre l'objectif
($)</t>
  </si>
  <si>
    <t>Coût Facteur 3
($)</t>
  </si>
  <si>
    <t>Frais d'études spécifiques
($)</t>
  </si>
  <si>
    <t>Proportion des 
coûts nets
(%)</t>
  </si>
  <si>
    <t>Coûts nets
($)</t>
  </si>
  <si>
    <t>Coûts nets totaux (incluant provision et fonds de risque)
($)</t>
  </si>
  <si>
    <t>Coûts nets totaux (incluant provision, FDR, Frais RQ et Fonds de risque)
($)</t>
  </si>
  <si>
    <t>% Provision pour mauvaise créances</t>
  </si>
  <si>
    <t>Montant actuel du Fonds de risque</t>
  </si>
  <si>
    <t>Fonds de risque cible (% des coûts nets)</t>
  </si>
  <si>
    <t>Variables clés</t>
  </si>
  <si>
    <t>Année de Tarif et scénario</t>
  </si>
  <si>
    <t>Tonnage se prévalant du crédit (%)</t>
  </si>
  <si>
    <t>Crédit accordé pour contenu recyclé (%)</t>
  </si>
  <si>
    <t>Poids du facteur 3 "Équilibreur"</t>
  </si>
  <si>
    <t>Poids du facteur 1 "Taux de récupération par matière"</t>
  </si>
  <si>
    <t>Poids du facteur 2 "Coût net par matière"</t>
  </si>
  <si>
    <t>Part assumée par l'industrie (%)</t>
  </si>
  <si>
    <t>Part assumée par ÉÉQ (%)</t>
  </si>
  <si>
    <t>Montant forfaitaire - Municipalités (%)</t>
  </si>
  <si>
    <t>Indemnité - RECYC-QUÉBEC (%)</t>
  </si>
  <si>
    <t>Frais d'études et projets - ÉEQ</t>
  </si>
  <si>
    <t>Catégories et 
Sous-catégories</t>
  </si>
  <si>
    <t>Emballages de papier kraft</t>
  </si>
  <si>
    <t>Indemnité RQ_
Frais de gestion
($)</t>
  </si>
  <si>
    <t>Total Indemnité RQ_
Frais de gestion 
($)</t>
  </si>
  <si>
    <t>Indemnité RECYC-QUÉBEC et frais de gestion</t>
  </si>
  <si>
    <t>Coûts nets/tonne
($/tonne)</t>
  </si>
  <si>
    <t>Tonnage se prévalant du crédit</t>
  </si>
  <si>
    <t>Calcul du crédit pour contenu recyclé</t>
  </si>
  <si>
    <t>Montant forfaitaire - Municipalités</t>
  </si>
  <si>
    <t>Indemnité RECYC-QUÉBEC assumée par ÉEQ</t>
  </si>
  <si>
    <t>Indemnité RECYC-QUÉBEC</t>
  </si>
  <si>
    <t>Part assumée par ÉEQ (%)</t>
  </si>
  <si>
    <t>Total Indemnité RECYC-QUÉBEC assumée par ÉEQ</t>
  </si>
  <si>
    <t>Coûts répartis selon la formule à 3 facteurs par catégorie</t>
  </si>
  <si>
    <t>Sacs de papier kraft</t>
  </si>
  <si>
    <t>Contenants de PET</t>
  </si>
  <si>
    <t>Matière</t>
  </si>
  <si>
    <t>Sous-catégorie</t>
  </si>
  <si>
    <t>Nombre déclarations</t>
  </si>
  <si>
    <t>Quantité déclarée (tonnes)</t>
  </si>
  <si>
    <t>Quantité générée (tonnes)</t>
  </si>
  <si>
    <t>Quantité récupérée (tonnes)</t>
  </si>
  <si>
    <t>% récupération</t>
  </si>
  <si>
    <t>Coût net ACA</t>
  </si>
  <si>
    <t>Coût brut</t>
  </si>
  <si>
    <t>Revenu brut</t>
  </si>
  <si>
    <t>Frais d'étude</t>
  </si>
  <si>
    <r>
      <t>Nombre de déclarations</t>
    </r>
    <r>
      <rPr>
        <b/>
        <vertAlign val="superscript"/>
        <sz val="11"/>
        <color theme="1"/>
        <rFont val="Arial"/>
        <family val="2"/>
      </rPr>
      <t>1</t>
    </r>
  </si>
  <si>
    <t>Quantité totale 
(kg)</t>
  </si>
  <si>
    <r>
      <rPr>
        <vertAlign val="superscript"/>
        <sz val="11"/>
        <color theme="1"/>
        <rFont val="Arial"/>
        <family val="2"/>
      </rPr>
      <t>1</t>
    </r>
    <r>
      <rPr>
        <sz val="11"/>
        <color theme="1"/>
        <rFont val="Arial"/>
        <family val="2"/>
      </rPr>
      <t xml:space="preserve"> Le nombre de déclarations représente le nombre d'entreprises ayant déclaré une matière donnée. Une entreprise peut déclarer plus d'une matière, c'est pourquoi le nombre de déclarations est supérieur au nombre d'entreprises contributrices. </t>
    </r>
  </si>
  <si>
    <t>% déduction P&amp;E</t>
  </si>
  <si>
    <t>Compensation maximale RecycleMédias</t>
  </si>
  <si>
    <t>Article 8.14 Règlement 2013  (http://www2.publicationsduquebec.gouv.qc.ca/dynamicSearch/telecharge.php?type=2&amp;file=//Q_2/Q2R10.htm)</t>
  </si>
  <si>
    <t>Article 8.9   Règlement 2013  (http://www2.publicationsduquebec.gouv.qc.ca/dynamicSearch/telecharge.php?type=2&amp;file=//Q_2/Q2R10.htm)</t>
  </si>
  <si>
    <t>Article 8.5   Règlement 2013  (http://www2.publicationsduquebec.gouv.qc.ca/dynamicSearch/telecharge.php?type=2&amp;file=//Q_2/Q2R10.htm)</t>
  </si>
  <si>
    <t>Article 8.8   Règlement 2013  (http://www2.publicationsduquebec.gouv.qc.ca/dynamicSearch/telecharge.php?type=2&amp;file=//Q_2/Q2R10.htm)</t>
  </si>
  <si>
    <t>C'est ici que sont consolidés les résultats qui sont utilisés dans les feuilles de calcul: Facteur_1, Facteur_2, Facteur_3, Frais de gestion, Tarif, Crédit contenu recyclé, Sommaire exécutif</t>
  </si>
  <si>
    <t>Calcul défini à l'article 8.14 Règlement 2013  (http://www2.publicationsduquebec.gouv.qc.ca/dynamicSearch/telecharge.php?type=2&amp;file=//Q_2/Q2R10.htm)</t>
  </si>
  <si>
    <t>Retraits fonds de risque</t>
  </si>
  <si>
    <t>Conjoint</t>
  </si>
  <si>
    <r>
      <t>Matière</t>
    </r>
    <r>
      <rPr>
        <b/>
        <vertAlign val="superscript"/>
        <sz val="11"/>
        <color theme="1"/>
        <rFont val="Arial"/>
        <family val="2"/>
      </rPr>
      <t>1</t>
    </r>
  </si>
  <si>
    <t>Indemnité RQ et Frais de gestion</t>
  </si>
  <si>
    <t>Fonds de risque à renflouer</t>
  </si>
  <si>
    <t>Proportion relative des catégories
(%)</t>
  </si>
  <si>
    <t>Retrait fonds de risque
($)</t>
  </si>
  <si>
    <t>% variation</t>
  </si>
  <si>
    <t>Polystyrène expansé alimentaire</t>
  </si>
  <si>
    <t>Polystyrène expansé de protection</t>
  </si>
  <si>
    <t>Acier TOTAL</t>
  </si>
  <si>
    <t>Ordre</t>
  </si>
  <si>
    <t>Quantité éliminée (t)</t>
  </si>
  <si>
    <t>Quantité attendue net (kg)</t>
  </si>
  <si>
    <t>% déduction des matières autres</t>
  </si>
  <si>
    <t>Coûts nets après déduction matiètres autres</t>
  </si>
  <si>
    <t>Frais d'opération ÉEQ</t>
  </si>
  <si>
    <t>Total Frais d'opération ÉEQ</t>
  </si>
  <si>
    <t>Donnée réelle transmise par R-Q</t>
  </si>
  <si>
    <t>ACA Québécoise 2013</t>
  </si>
  <si>
    <t>Quantités de matières anticipées</t>
  </si>
  <si>
    <t>Quantité générée (t)</t>
  </si>
  <si>
    <t>Quantité récupérée (t)</t>
  </si>
  <si>
    <t>Taux récupération</t>
  </si>
  <si>
    <t>Déclaration manquante</t>
  </si>
  <si>
    <t>Pénalité</t>
  </si>
  <si>
    <t>Anticipation Tarif fixe</t>
  </si>
  <si>
    <r>
      <rPr>
        <b/>
        <vertAlign val="superscript"/>
        <sz val="11"/>
        <color theme="1"/>
        <rFont val="Arial"/>
        <family val="2"/>
      </rPr>
      <t>1</t>
    </r>
    <r>
      <rPr>
        <sz val="11"/>
        <color theme="1"/>
        <rFont val="Arial"/>
        <family val="2"/>
      </rPr>
      <t xml:space="preserve"> Un crédit sera également accordé à certains contenants et emballages de papier et carton et de plastique. Cependant, pour le Tarif 2015, le crédit n'est pas considéré dans le calcul du Tarif puisqu'il proviendra d'un fonds indépendant.</t>
    </r>
  </si>
  <si>
    <t xml:space="preserve">Quantité générée
(tonnes) </t>
  </si>
  <si>
    <t xml:space="preserve">Quantité récupérée
(tonnes) </t>
  </si>
  <si>
    <t xml:space="preserve">Quantité éliminée
(tonnes) </t>
  </si>
  <si>
    <t>Quantité déclarée
(tonnes)</t>
  </si>
  <si>
    <t>Nombre de déclarations</t>
  </si>
  <si>
    <t>TARIFICATION</t>
  </si>
  <si>
    <t>Quantités</t>
  </si>
  <si>
    <t>Total Indemnité RQ &amp; Frais de gestion 
($)</t>
  </si>
  <si>
    <t>Quantité déclarée 
(tonnes)</t>
  </si>
  <si>
    <t>Taux de récupération
(%)</t>
  </si>
  <si>
    <t>Coût net / tonne
(ACA)
($/tonne)</t>
  </si>
  <si>
    <t>Coûts nets à compenser</t>
  </si>
  <si>
    <t>Basé sur la déclaration totale de tarif fixe du Tarif 2014</t>
  </si>
  <si>
    <t>Coût brut ($/t)</t>
  </si>
  <si>
    <t>Revenu brut ($/t)</t>
  </si>
  <si>
    <t>Frais d'études spécifiques ($)</t>
  </si>
  <si>
    <t>http://www.ecoentreprises.qc.ca/documents/pdf/caracterisation_2012-2013_rapport_synthese_fr_final.pdf</t>
  </si>
  <si>
    <t>2012-2013</t>
  </si>
  <si>
    <t>Caractérisation des matières résiduelles du secteur résidentiel 2012-2013</t>
  </si>
  <si>
    <t>Coût brut
(ACA)
($/tonne)</t>
  </si>
  <si>
    <t>Coût net
($/tonne)</t>
  </si>
  <si>
    <t>Revenu brut
(ACA)
($/tonne)</t>
  </si>
  <si>
    <t>Coût net total
($)</t>
  </si>
  <si>
    <t>Bombes aérosol en acier</t>
  </si>
  <si>
    <t>Contenants pour aliments et breuvages en aluminium</t>
  </si>
  <si>
    <t>Sacs d'emplettes de pellicules HDPE et LDPE</t>
  </si>
  <si>
    <t>Acide polylactique (PLA) et autres plastiques dégradables</t>
  </si>
  <si>
    <t>Taux 2015
($/tonne)</t>
  </si>
  <si>
    <t>* inclut avec les polystyrènes</t>
  </si>
  <si>
    <t>* inclut avec les Bouteilles PET</t>
  </si>
  <si>
    <t>CATÉGORIE</t>
  </si>
  <si>
    <t>Papier et carton</t>
  </si>
  <si>
    <t>Papier et carton TOTAL</t>
  </si>
  <si>
    <t>Fonds de risque et de stabilisation des taux</t>
  </si>
  <si>
    <t>Taux avant crédit</t>
  </si>
  <si>
    <t>Taux après crédit</t>
  </si>
  <si>
    <t>Provision pour crédit</t>
  </si>
  <si>
    <t>Quantité déclarée précédente</t>
  </si>
  <si>
    <t>Taux précédent</t>
  </si>
  <si>
    <t>Variation</t>
  </si>
  <si>
    <t>Limitation de la hausse des taux</t>
  </si>
  <si>
    <t>Ajustement limitation des hausses de taux ($)</t>
  </si>
  <si>
    <t xml:space="preserve">Limitation des hausses de taux à </t>
  </si>
  <si>
    <t>Taux maximal</t>
  </si>
  <si>
    <t>$ au-dessus de la limite</t>
  </si>
  <si>
    <t>Quantité déclarée</t>
  </si>
  <si>
    <t>$ sous la limite</t>
  </si>
  <si>
    <t>% sous la limite</t>
  </si>
  <si>
    <t>$ redistribué</t>
  </si>
  <si>
    <t>Provision crédit contenu recyclé</t>
  </si>
  <si>
    <r>
      <t>Réel</t>
    </r>
    <r>
      <rPr>
        <b/>
        <vertAlign val="superscript"/>
        <sz val="11"/>
        <color theme="1"/>
        <rFont val="Arial"/>
        <family val="2"/>
      </rPr>
      <t>1</t>
    </r>
  </si>
  <si>
    <t>Coût</t>
  </si>
  <si>
    <t>Taux</t>
  </si>
  <si>
    <t>Coût Facteur
($)</t>
  </si>
  <si>
    <t xml:space="preserve"> Facteur 2</t>
  </si>
  <si>
    <t>Taux 2016
($/tonne)</t>
  </si>
  <si>
    <t>Déclaration Tarif 2014 avec ajustement pour modification anticipée du Tarif 2016</t>
  </si>
  <si>
    <t>Publication Juillet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</si>
</sst>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 numFmtId="185" formatCode="#,##0\ [$$-C0C]_);\(#,##0\ [$$-C0C]\)"/>
    <numFmt numFmtId="186" formatCode="#,##0\ &quot;$&quot;"/>
  </numFmts>
  <fonts count="79">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theme="6" tint="0.79998168889431442"/>
      </patternFill>
    </fill>
    <fill>
      <patternFill patternType="solid">
        <fgColor theme="7" tint="0.79998168889431442"/>
        <bgColor theme="5" tint="0.79998168889431442"/>
      </patternFill>
    </fill>
    <fill>
      <patternFill patternType="solid">
        <fgColor theme="7" tint="0.79998168889431442"/>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bottom style="thin">
        <color theme="0" tint="-0.249977111117893"/>
      </bottom>
      <diagonal/>
    </border>
    <border>
      <left/>
      <right style="thin">
        <color indexed="64"/>
      </right>
      <top style="double">
        <color indexed="64"/>
      </top>
      <bottom style="medium">
        <color indexed="64"/>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715">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12" borderId="6" xfId="2" applyFont="1" applyFill="1" applyBorder="1"/>
    <xf numFmtId="9" fontId="3" fillId="5" borderId="13" xfId="2" applyFont="1" applyFill="1" applyBorder="1"/>
    <xf numFmtId="167" fontId="3" fillId="15" borderId="0" xfId="2" applyNumberFormat="1" applyFont="1" applyFill="1" applyBorder="1"/>
    <xf numFmtId="167" fontId="3" fillId="15" borderId="22" xfId="2" applyNumberFormat="1" applyFont="1" applyFill="1" applyBorder="1"/>
    <xf numFmtId="167" fontId="3" fillId="5" borderId="13" xfId="2" applyNumberFormat="1" applyFont="1" applyFill="1" applyBorder="1"/>
    <xf numFmtId="167" fontId="3" fillId="3" borderId="31" xfId="2" applyNumberFormat="1" applyFont="1" applyFill="1" applyBorder="1"/>
    <xf numFmtId="167" fontId="3" fillId="16" borderId="0"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21" xfId="2" applyFont="1" applyFill="1" applyBorder="1"/>
    <xf numFmtId="9" fontId="4" fillId="5" borderId="13" xfId="2" applyFont="1" applyFill="1" applyBorder="1"/>
    <xf numFmtId="167" fontId="4" fillId="5" borderId="13" xfId="2" applyNumberFormat="1" applyFont="1" applyFill="1" applyBorder="1"/>
    <xf numFmtId="9" fontId="4" fillId="5" borderId="29" xfId="2" applyFont="1" applyFill="1" applyBorder="1"/>
    <xf numFmtId="167"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9" fontId="3" fillId="12" borderId="4" xfId="2" applyFont="1" applyFill="1" applyBorder="1"/>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7"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0" fontId="9" fillId="6" borderId="31" xfId="7" applyFont="1" applyFill="1" applyBorder="1" applyAlignment="1" applyProtection="1">
      <alignment horizontal="center" vertical="center" wrapText="1"/>
    </xf>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7" xfId="2" applyFont="1" applyFill="1" applyBorder="1"/>
    <xf numFmtId="10" fontId="5" fillId="3" borderId="7" xfId="2" applyNumberFormat="1" applyFont="1" applyFill="1" applyBorder="1"/>
    <xf numFmtId="9" fontId="5" fillId="3" borderId="9" xfId="0" applyNumberFormat="1" applyFont="1" applyFill="1" applyBorder="1"/>
    <xf numFmtId="9" fontId="5" fillId="3" borderId="7" xfId="2" applyFont="1" applyFill="1" applyBorder="1" applyAlignment="1">
      <alignment vertical="center" wrapText="1"/>
    </xf>
    <xf numFmtId="9" fontId="5" fillId="3" borderId="9" xfId="2" applyFont="1" applyFill="1" applyBorder="1" applyAlignment="1">
      <alignment vertical="center" wrapText="1"/>
    </xf>
    <xf numFmtId="0" fontId="4" fillId="4" borderId="26"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3" fillId="3" borderId="71" xfId="0" applyFont="1" applyFill="1" applyBorder="1" applyAlignment="1">
      <alignment horizontal="left"/>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181"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176" fontId="5" fillId="3" borderId="9" xfId="2" applyNumberFormat="1" applyFont="1" applyFill="1" applyBorder="1"/>
    <xf numFmtId="0" fontId="3" fillId="3" borderId="0" xfId="0" applyFont="1" applyFill="1" applyAlignment="1">
      <alignment horizontal="left" indent="1"/>
    </xf>
    <xf numFmtId="180" fontId="5" fillId="0" borderId="7" xfId="3" applyNumberFormat="1" applyFont="1" applyFill="1" applyBorder="1"/>
    <xf numFmtId="10" fontId="5" fillId="0" borderId="7" xfId="2" applyNumberFormat="1" applyFont="1" applyFill="1" applyBorder="1"/>
    <xf numFmtId="179" fontId="5" fillId="0" borderId="7" xfId="1" applyNumberFormat="1" applyFont="1" applyFill="1" applyBorder="1"/>
    <xf numFmtId="167" fontId="5" fillId="3" borderId="7" xfId="2" applyNumberFormat="1" applyFont="1" applyFill="1" applyBorder="1"/>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168" fontId="6" fillId="0" borderId="11" xfId="3" applyNumberFormat="1" applyFont="1" applyFill="1" applyBorder="1" applyAlignment="1">
      <alignment horizontal="right"/>
    </xf>
    <xf numFmtId="168" fontId="6" fillId="0" borderId="10" xfId="3" applyNumberFormat="1" applyFont="1" applyFill="1" applyBorder="1" applyAlignment="1">
      <alignment horizontal="right"/>
    </xf>
    <xf numFmtId="168" fontId="6" fillId="0" borderId="16"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176" fontId="5" fillId="3" borderId="7" xfId="2" applyNumberFormat="1" applyFont="1" applyFill="1" applyBorder="1"/>
    <xf numFmtId="0" fontId="7" fillId="4" borderId="28" xfId="0" applyFont="1" applyFill="1" applyBorder="1"/>
    <xf numFmtId="0" fontId="4" fillId="4" borderId="17" xfId="0" applyFont="1" applyFill="1" applyBorder="1" applyAlignment="1">
      <alignment horizontal="center"/>
    </xf>
    <xf numFmtId="168" fontId="5" fillId="0" borderId="11" xfId="3" applyNumberFormat="1" applyFont="1" applyFill="1" applyBorder="1"/>
    <xf numFmtId="168" fontId="5" fillId="0" borderId="10" xfId="3" applyNumberFormat="1" applyFont="1" applyFill="1" applyBorder="1"/>
    <xf numFmtId="168" fontId="5" fillId="0" borderId="16"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6" fontId="6" fillId="3" borderId="77" xfId="1" applyNumberFormat="1" applyFont="1" applyFill="1" applyBorder="1"/>
    <xf numFmtId="167" fontId="6" fillId="3" borderId="77" xfId="2" applyNumberFormat="1" applyFont="1" applyFill="1" applyBorder="1"/>
    <xf numFmtId="10"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167"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0" fontId="76" fillId="3" borderId="0" xfId="0" applyFont="1" applyFill="1" applyBorder="1" applyAlignment="1">
      <alignment horizontal="center"/>
    </xf>
    <xf numFmtId="167" fontId="76" fillId="3" borderId="0" xfId="2" applyNumberFormat="1" applyFont="1" applyFill="1" applyBorder="1" applyAlignment="1">
      <alignment horizontal="center"/>
    </xf>
    <xf numFmtId="9" fontId="76"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66" fontId="6" fillId="3" borderId="82" xfId="1" applyNumberFormat="1" applyFont="1" applyFill="1" applyBorder="1"/>
    <xf numFmtId="180" fontId="5" fillId="0" borderId="9" xfId="3" applyNumberFormat="1" applyFont="1" applyFill="1" applyBorder="1"/>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9" fontId="4" fillId="5" borderId="12" xfId="2" applyNumberFormat="1" applyFont="1" applyFill="1" applyBorder="1"/>
    <xf numFmtId="0" fontId="78" fillId="0" borderId="0" xfId="0" applyFont="1"/>
    <xf numFmtId="171"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26" xfId="0" applyBorder="1"/>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49" borderId="26" xfId="0" applyFont="1" applyFill="1" applyBorder="1"/>
    <xf numFmtId="3" fontId="0" fillId="0" borderId="26" xfId="0" applyNumberFormat="1" applyBorder="1"/>
    <xf numFmtId="167" fontId="0" fillId="0" borderId="26" xfId="2" applyNumberFormat="1" applyFont="1" applyBorder="1"/>
    <xf numFmtId="3" fontId="78" fillId="0" borderId="0" xfId="0" applyNumberFormat="1" applyFont="1"/>
    <xf numFmtId="167" fontId="78" fillId="0" borderId="0" xfId="2" applyNumberFormat="1" applyFont="1"/>
    <xf numFmtId="166" fontId="6" fillId="3" borderId="0" xfId="1" applyNumberFormat="1" applyFont="1" applyFill="1" applyBorder="1"/>
    <xf numFmtId="0" fontId="74"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0" fontId="5" fillId="0" borderId="5" xfId="3" applyNumberFormat="1" applyFont="1" applyFill="1" applyBorder="1"/>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67" fontId="3" fillId="13" borderId="22" xfId="2" applyNumberFormat="1" applyFont="1" applyFill="1" applyBorder="1"/>
    <xf numFmtId="167" fontId="3" fillId="13" borderId="0" xfId="2" applyNumberFormat="1" applyFont="1" applyFill="1" applyBorder="1"/>
    <xf numFmtId="167" fontId="3" fillId="13" borderId="26" xfId="2" applyNumberFormat="1" applyFont="1" applyFill="1" applyBorder="1"/>
    <xf numFmtId="167" fontId="4" fillId="14" borderId="13" xfId="2"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166" fontId="5" fillId="0" borderId="0" xfId="1" applyNumberFormat="1" applyFont="1" applyBorder="1"/>
    <xf numFmtId="184"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6" fontId="5" fillId="0" borderId="91" xfId="1" applyNumberFormat="1" applyFont="1" applyBorder="1"/>
    <xf numFmtId="184" fontId="5" fillId="0" borderId="91" xfId="1" applyNumberFormat="1"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66" fontId="5" fillId="0" borderId="26" xfId="1" applyNumberFormat="1" applyFont="1" applyBorder="1"/>
    <xf numFmtId="184" fontId="5" fillId="0" borderId="26" xfId="1" applyNumberFormat="1"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8" xfId="0" applyFont="1" applyFill="1" applyBorder="1"/>
    <xf numFmtId="168" fontId="3" fillId="3" borderId="109" xfId="3" applyNumberFormat="1" applyFont="1" applyFill="1" applyBorder="1"/>
    <xf numFmtId="168" fontId="3" fillId="3" borderId="108" xfId="3" applyNumberFormat="1" applyFont="1" applyFill="1" applyBorder="1"/>
    <xf numFmtId="168" fontId="3" fillId="3" borderId="107" xfId="3" applyNumberFormat="1" applyFont="1" applyFill="1" applyBorder="1"/>
    <xf numFmtId="170" fontId="3" fillId="47" borderId="110" xfId="1" applyNumberFormat="1" applyFont="1" applyFill="1" applyBorder="1"/>
    <xf numFmtId="184" fontId="3" fillId="3" borderId="109" xfId="1" applyNumberFormat="1" applyFont="1" applyFill="1" applyBorder="1"/>
    <xf numFmtId="184" fontId="3" fillId="12" borderId="108" xfId="1" applyNumberFormat="1" applyFont="1" applyFill="1" applyBorder="1"/>
    <xf numFmtId="184" fontId="3" fillId="13" borderId="108" xfId="1" applyNumberFormat="1" applyFont="1" applyFill="1" applyBorder="1"/>
    <xf numFmtId="184" fontId="3" fillId="15" borderId="108" xfId="1" applyNumberFormat="1" applyFont="1" applyFill="1" applyBorder="1"/>
    <xf numFmtId="184" fontId="3" fillId="18" borderId="108" xfId="1" applyNumberFormat="1" applyFont="1" applyFill="1" applyBorder="1"/>
    <xf numFmtId="0" fontId="4" fillId="5" borderId="14" xfId="0" applyFont="1" applyFill="1" applyBorder="1" applyAlignment="1">
      <alignment horizontal="left"/>
    </xf>
    <xf numFmtId="0" fontId="3" fillId="0" borderId="0" xfId="0" applyFont="1" applyFill="1" applyAlignment="1">
      <alignment vertical="top"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3" borderId="0" xfId="0" applyFont="1" applyFill="1" applyBorder="1" applyAlignment="1">
      <alignment horizontal="right"/>
    </xf>
    <xf numFmtId="170" fontId="3" fillId="17" borderId="0" xfId="1" applyNumberFormat="1" applyFont="1" applyFill="1" applyBorder="1"/>
    <xf numFmtId="0" fontId="3" fillId="50" borderId="0" xfId="0" applyFont="1" applyFill="1" applyAlignment="1">
      <alignment vertical="top" wrapText="1"/>
    </xf>
    <xf numFmtId="0" fontId="4" fillId="3" borderId="0" xfId="0" applyFont="1" applyFill="1"/>
    <xf numFmtId="3" fontId="4" fillId="3" borderId="0" xfId="0" applyNumberFormat="1" applyFont="1" applyFill="1" applyAlignment="1">
      <alignment horizontal="right" indent="1"/>
    </xf>
    <xf numFmtId="0" fontId="4" fillId="3" borderId="0" xfId="0" applyFont="1" applyFill="1" applyAlignment="1">
      <alignment horizontal="right" indent="1"/>
    </xf>
    <xf numFmtId="3" fontId="4" fillId="5" borderId="30" xfId="0" applyNumberFormat="1" applyFont="1" applyFill="1" applyBorder="1"/>
    <xf numFmtId="171" fontId="3" fillId="5" borderId="13" xfId="1" applyNumberFormat="1" applyFont="1" applyFill="1" applyBorder="1"/>
    <xf numFmtId="170" fontId="3" fillId="3" borderId="0" xfId="3" applyNumberFormat="1" applyFont="1" applyFill="1" applyBorder="1"/>
    <xf numFmtId="167" fontId="3" fillId="3" borderId="0" xfId="2" applyNumberFormat="1" applyFont="1" applyFill="1" applyBorder="1"/>
    <xf numFmtId="0" fontId="3" fillId="3" borderId="0" xfId="0" applyFont="1" applyFill="1" applyBorder="1" applyAlignment="1">
      <alignment horizontal="left" indent="1"/>
    </xf>
    <xf numFmtId="180" fontId="5" fillId="0" borderId="0" xfId="3" applyNumberFormat="1" applyFont="1" applyFill="1" applyBorder="1"/>
    <xf numFmtId="9" fontId="5" fillId="0" borderId="0" xfId="2" applyFont="1" applyFill="1" applyBorder="1"/>
    <xf numFmtId="185" fontId="4" fillId="5" borderId="12" xfId="1" applyNumberFormat="1" applyFont="1" applyFill="1" applyBorder="1"/>
    <xf numFmtId="185" fontId="4" fillId="5" borderId="14" xfId="1" applyNumberFormat="1" applyFont="1" applyFill="1" applyBorder="1"/>
    <xf numFmtId="185" fontId="4" fillId="5" borderId="13" xfId="1" applyNumberFormat="1" applyFont="1" applyFill="1" applyBorder="1"/>
    <xf numFmtId="185" fontId="4" fillId="5" borderId="2" xfId="1" applyNumberFormat="1" applyFont="1" applyFill="1" applyBorder="1"/>
    <xf numFmtId="3" fontId="3" fillId="3" borderId="0" xfId="0" applyNumberFormat="1" applyFont="1" applyFill="1"/>
    <xf numFmtId="182" fontId="3" fillId="3" borderId="6" xfId="1" applyNumberFormat="1" applyFont="1" applyFill="1" applyBorder="1"/>
    <xf numFmtId="186" fontId="4" fillId="5" borderId="12" xfId="3" applyNumberFormat="1" applyFont="1" applyFill="1" applyBorder="1"/>
    <xf numFmtId="186" fontId="3" fillId="3" borderId="0" xfId="3" applyNumberFormat="1" applyFont="1" applyFill="1" applyBorder="1"/>
    <xf numFmtId="186" fontId="3" fillId="5" borderId="13" xfId="3" applyNumberFormat="1" applyFont="1" applyFill="1" applyBorder="1"/>
    <xf numFmtId="186" fontId="4" fillId="5" borderId="13" xfId="3" applyNumberFormat="1" applyFont="1" applyFill="1" applyBorder="1"/>
    <xf numFmtId="186" fontId="4" fillId="5" borderId="2" xfId="3" applyNumberFormat="1" applyFont="1" applyFill="1" applyBorder="1"/>
    <xf numFmtId="186" fontId="4" fillId="5" borderId="14" xfId="3" applyNumberFormat="1" applyFont="1" applyFill="1" applyBorder="1"/>
    <xf numFmtId="184" fontId="3" fillId="3" borderId="102" xfId="1" applyNumberFormat="1" applyFont="1" applyFill="1" applyBorder="1" applyAlignment="1">
      <alignment vertical="center"/>
    </xf>
    <xf numFmtId="184" fontId="3" fillId="12" borderId="103" xfId="1" applyNumberFormat="1" applyFont="1" applyFill="1" applyBorder="1" applyAlignment="1">
      <alignment vertical="center"/>
    </xf>
    <xf numFmtId="184" fontId="3" fillId="13" borderId="103" xfId="1" applyNumberFormat="1" applyFont="1" applyFill="1" applyBorder="1" applyAlignment="1">
      <alignment vertical="center"/>
    </xf>
    <xf numFmtId="184" fontId="3" fillId="15" borderId="103" xfId="1" applyNumberFormat="1" applyFont="1" applyFill="1" applyBorder="1" applyAlignment="1">
      <alignment vertical="center"/>
    </xf>
    <xf numFmtId="184" fontId="3" fillId="17" borderId="103" xfId="1" applyNumberFormat="1" applyFont="1" applyFill="1" applyBorder="1" applyAlignment="1">
      <alignment vertical="center"/>
    </xf>
    <xf numFmtId="184" fontId="3" fillId="3" borderId="104" xfId="1" applyNumberFormat="1" applyFont="1" applyFill="1" applyBorder="1" applyAlignment="1">
      <alignment vertical="center"/>
    </xf>
    <xf numFmtId="184" fontId="3" fillId="12" borderId="0" xfId="1" applyNumberFormat="1" applyFont="1" applyFill="1" applyBorder="1" applyAlignment="1">
      <alignment vertical="center"/>
    </xf>
    <xf numFmtId="184" fontId="3" fillId="13" borderId="0" xfId="1" applyNumberFormat="1" applyFont="1" applyFill="1" applyBorder="1" applyAlignment="1">
      <alignment vertical="center"/>
    </xf>
    <xf numFmtId="184" fontId="3" fillId="15" borderId="0" xfId="1" applyNumberFormat="1" applyFont="1" applyFill="1" applyBorder="1" applyAlignment="1">
      <alignment vertical="center"/>
    </xf>
    <xf numFmtId="184" fontId="3" fillId="17" borderId="0" xfId="1" applyNumberFormat="1" applyFont="1" applyFill="1" applyBorder="1" applyAlignment="1">
      <alignment vertical="center"/>
    </xf>
    <xf numFmtId="184" fontId="3" fillId="3" borderId="105" xfId="1" applyNumberFormat="1" applyFont="1" applyFill="1" applyBorder="1" applyAlignment="1">
      <alignment vertical="center"/>
    </xf>
    <xf numFmtId="184" fontId="3" fillId="12" borderId="106" xfId="1" applyNumberFormat="1" applyFont="1" applyFill="1" applyBorder="1" applyAlignment="1">
      <alignment vertical="center"/>
    </xf>
    <xf numFmtId="184" fontId="3" fillId="13" borderId="106" xfId="1" applyNumberFormat="1" applyFont="1" applyFill="1" applyBorder="1" applyAlignment="1">
      <alignment vertical="center"/>
    </xf>
    <xf numFmtId="184" fontId="3" fillId="15" borderId="106" xfId="1" applyNumberFormat="1" applyFont="1" applyFill="1" applyBorder="1" applyAlignment="1">
      <alignment vertical="center"/>
    </xf>
    <xf numFmtId="184" fontId="3" fillId="17" borderId="106" xfId="1" applyNumberFormat="1" applyFont="1" applyFill="1" applyBorder="1" applyAlignment="1">
      <alignment vertical="center"/>
    </xf>
    <xf numFmtId="184" fontId="3" fillId="3" borderId="108" xfId="1" applyNumberFormat="1" applyFont="1" applyFill="1" applyBorder="1"/>
    <xf numFmtId="185" fontId="6" fillId="3" borderId="77" xfId="1" applyNumberFormat="1" applyFont="1" applyFill="1" applyBorder="1"/>
    <xf numFmtId="184" fontId="4" fillId="5" borderId="113" xfId="1" applyNumberFormat="1" applyFont="1" applyFill="1" applyBorder="1"/>
    <xf numFmtId="184" fontId="4" fillId="5" borderId="15" xfId="1" applyNumberFormat="1" applyFont="1" applyFill="1" applyBorder="1"/>
    <xf numFmtId="184" fontId="4" fillId="14" borderId="15" xfId="1" applyNumberFormat="1" applyFont="1" applyFill="1" applyBorder="1"/>
    <xf numFmtId="184" fontId="4" fillId="5" borderId="17" xfId="1" applyNumberFormat="1" applyFont="1" applyFill="1" applyBorder="1"/>
    <xf numFmtId="169" fontId="4" fillId="5" borderId="15" xfId="2" applyNumberFormat="1" applyFont="1" applyFill="1" applyBorder="1"/>
    <xf numFmtId="169" fontId="4" fillId="3" borderId="35" xfId="2" applyNumberFormat="1" applyFont="1" applyFill="1" applyBorder="1"/>
    <xf numFmtId="182" fontId="4" fillId="3" borderId="35" xfId="1" applyNumberFormat="1" applyFont="1" applyFill="1" applyBorder="1"/>
    <xf numFmtId="184" fontId="4" fillId="51" borderId="98" xfId="1" applyNumberFormat="1" applyFont="1" applyFill="1" applyBorder="1"/>
    <xf numFmtId="184" fontId="4" fillId="52" borderId="107" xfId="1" applyNumberFormat="1" applyFont="1" applyFill="1" applyBorder="1"/>
    <xf numFmtId="184" fontId="4" fillId="53" borderId="108" xfId="1" applyNumberFormat="1" applyFont="1" applyFill="1" applyBorder="1"/>
    <xf numFmtId="184" fontId="4" fillId="51" borderId="7" xfId="1" applyNumberFormat="1" applyFont="1" applyFill="1" applyBorder="1"/>
    <xf numFmtId="0" fontId="9" fillId="6" borderId="93" xfId="7" applyFont="1" applyFill="1" applyBorder="1" applyAlignment="1" applyProtection="1">
      <alignment horizontal="center" vertical="center" wrapText="1"/>
    </xf>
    <xf numFmtId="182" fontId="3" fillId="3" borderId="4" xfId="1" applyNumberFormat="1" applyFont="1" applyFill="1" applyBorder="1"/>
    <xf numFmtId="182" fontId="4" fillId="5" borderId="29" xfId="1" applyNumberFormat="1" applyFont="1" applyFill="1" applyBorder="1"/>
    <xf numFmtId="182" fontId="4" fillId="5" borderId="21" xfId="1" applyNumberFormat="1" applyFont="1" applyFill="1" applyBorder="1"/>
    <xf numFmtId="182" fontId="4" fillId="5" borderId="30" xfId="1" applyNumberFormat="1" applyFont="1" applyFill="1" applyBorder="1"/>
    <xf numFmtId="182" fontId="4" fillId="5" borderId="28" xfId="1" applyNumberFormat="1" applyFont="1" applyFill="1" applyBorder="1"/>
    <xf numFmtId="170" fontId="4" fillId="5" borderId="13" xfId="3" applyNumberFormat="1" applyFont="1" applyFill="1" applyBorder="1"/>
    <xf numFmtId="170" fontId="4" fillId="5" borderId="2" xfId="0" applyNumberFormat="1" applyFont="1" applyFill="1" applyBorder="1"/>
    <xf numFmtId="5" fontId="3" fillId="53" borderId="0" xfId="1" applyNumberFormat="1" applyFont="1" applyFill="1" applyBorder="1"/>
    <xf numFmtId="186" fontId="3" fillId="53" borderId="0" xfId="1" applyNumberFormat="1" applyFont="1" applyFill="1" applyBorder="1"/>
    <xf numFmtId="182" fontId="3" fillId="53" borderId="0" xfId="1" applyNumberFormat="1" applyFont="1" applyFill="1" applyBorder="1"/>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78" fillId="49" borderId="21" xfId="0" applyFont="1" applyFill="1" applyBorder="1" applyAlignment="1">
      <alignment horizontal="center"/>
    </xf>
    <xf numFmtId="0" fontId="78" fillId="49" borderId="13" xfId="0" applyFont="1" applyFill="1" applyBorder="1" applyAlignment="1">
      <alignment horizontal="center"/>
    </xf>
    <xf numFmtId="0" fontId="78" fillId="49" borderId="15" xfId="0" applyFont="1" applyFill="1" applyBorder="1" applyAlignment="1">
      <alignment horizontal="center"/>
    </xf>
    <xf numFmtId="0" fontId="9" fillId="6" borderId="20" xfId="7" applyFont="1" applyFill="1" applyBorder="1" applyAlignment="1" applyProtection="1">
      <alignment horizontal="center" vertical="center"/>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9" fillId="6" borderId="33"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184" fontId="3" fillId="13" borderId="0" xfId="1" applyNumberFormat="1" applyFont="1" applyFill="1" applyAlignment="1">
      <alignment horizontal="center" vertical="center"/>
    </xf>
    <xf numFmtId="184" fontId="3" fillId="12" borderId="0" xfId="1" applyNumberFormat="1" applyFont="1" applyFill="1" applyBorder="1" applyAlignment="1">
      <alignment horizontal="center" vertical="center"/>
    </xf>
    <xf numFmtId="184" fontId="3" fillId="3" borderId="6" xfId="1" applyNumberFormat="1" applyFont="1" applyFill="1" applyBorder="1" applyAlignment="1">
      <alignment horizontal="center" vertical="center"/>
    </xf>
    <xf numFmtId="184" fontId="3" fillId="15" borderId="0" xfId="1" applyNumberFormat="1" applyFont="1" applyFill="1" applyBorder="1" applyAlignment="1">
      <alignment horizontal="center" vertical="center"/>
    </xf>
    <xf numFmtId="184" fontId="3" fillId="15" borderId="106"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106" xfId="1" applyNumberFormat="1" applyFont="1" applyFill="1" applyBorder="1" applyAlignment="1">
      <alignment horizontal="center" vertical="center"/>
    </xf>
    <xf numFmtId="184" fontId="3" fillId="3" borderId="22" xfId="1" applyNumberFormat="1" applyFont="1" applyFill="1" applyBorder="1" applyAlignment="1">
      <alignment horizontal="center" vertical="center"/>
    </xf>
    <xf numFmtId="184" fontId="3" fillId="3" borderId="26" xfId="1" applyNumberFormat="1" applyFont="1" applyFill="1" applyBorder="1" applyAlignment="1">
      <alignment horizontal="center" vertical="center"/>
    </xf>
    <xf numFmtId="184" fontId="4" fillId="51" borderId="5" xfId="1" applyNumberFormat="1" applyFont="1" applyFill="1" applyBorder="1" applyAlignment="1">
      <alignment horizontal="center" vertical="center"/>
    </xf>
    <xf numFmtId="184" fontId="4" fillId="51" borderId="9" xfId="1" applyNumberFormat="1" applyFont="1" applyFill="1" applyBorder="1" applyAlignment="1">
      <alignment horizontal="center" vertical="center"/>
    </xf>
    <xf numFmtId="184" fontId="3" fillId="18" borderId="22"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6" xfId="1" applyNumberFormat="1" applyFont="1" applyFill="1" applyBorder="1" applyAlignment="1">
      <alignment horizontal="center" vertical="center"/>
    </xf>
    <xf numFmtId="184" fontId="3" fillId="17" borderId="103" xfId="1" applyNumberFormat="1" applyFont="1" applyFill="1" applyBorder="1" applyAlignment="1">
      <alignment horizontal="center" vertical="center"/>
    </xf>
    <xf numFmtId="184" fontId="3" fillId="17" borderId="0" xfId="1" applyNumberFormat="1" applyFont="1" applyFill="1" applyBorder="1" applyAlignment="1">
      <alignment horizontal="center" vertical="center"/>
    </xf>
    <xf numFmtId="184" fontId="3" fillId="17" borderId="10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xf numFmtId="184" fontId="3" fillId="3" borderId="22" xfId="1" applyNumberFormat="1" applyFont="1" applyFill="1" applyBorder="1" applyAlignment="1">
      <alignment horizontal="center"/>
    </xf>
    <xf numFmtId="184" fontId="3" fillId="3" borderId="26" xfId="1" applyNumberFormat="1" applyFont="1" applyFill="1" applyBorder="1" applyAlignment="1">
      <alignment horizontal="center"/>
    </xf>
    <xf numFmtId="184" fontId="4" fillId="52" borderId="5" xfId="1" applyNumberFormat="1" applyFont="1" applyFill="1" applyBorder="1" applyAlignment="1">
      <alignment horizontal="center" vertical="center"/>
    </xf>
    <xf numFmtId="184" fontId="4" fillId="52" borderId="7" xfId="1" applyNumberFormat="1" applyFont="1" applyFill="1" applyBorder="1" applyAlignment="1">
      <alignment horizontal="center" vertical="center"/>
    </xf>
    <xf numFmtId="184" fontId="4" fillId="52" borderId="112" xfId="1" applyNumberFormat="1" applyFont="1" applyFill="1" applyBorder="1" applyAlignment="1">
      <alignment horizontal="center" vertical="center"/>
    </xf>
    <xf numFmtId="184" fontId="4" fillId="51" borderId="111" xfId="1" applyNumberFormat="1" applyFont="1" applyFill="1" applyBorder="1" applyAlignment="1">
      <alignment horizontal="center" vertical="center"/>
    </xf>
    <xf numFmtId="184" fontId="4" fillId="51" borderId="7" xfId="1" applyNumberFormat="1" applyFont="1" applyFill="1" applyBorder="1" applyAlignment="1">
      <alignment horizontal="center" vertical="center"/>
    </xf>
    <xf numFmtId="184" fontId="4" fillId="51" borderId="112" xfId="1" applyNumberFormat="1" applyFont="1" applyFill="1" applyBorder="1" applyAlignment="1">
      <alignment horizontal="center" vertical="center"/>
    </xf>
    <xf numFmtId="184" fontId="74" fillId="3" borderId="109" xfId="1" applyNumberFormat="1" applyFont="1" applyFill="1" applyBorder="1" applyAlignment="1">
      <alignment horizontal="center"/>
    </xf>
    <xf numFmtId="184" fontId="74" fillId="3" borderId="108" xfId="1" applyNumberFormat="1" applyFont="1" applyFill="1" applyBorder="1" applyAlignment="1">
      <alignment horizontal="center"/>
    </xf>
    <xf numFmtId="184" fontId="74" fillId="3" borderId="107" xfId="1" applyNumberFormat="1" applyFont="1" applyFill="1" applyBorder="1" applyAlignment="1">
      <alignment horizontal="center"/>
    </xf>
    <xf numFmtId="184" fontId="3" fillId="3" borderId="0" xfId="1" applyNumberFormat="1" applyFont="1" applyFill="1" applyBorder="1" applyAlignment="1">
      <alignment horizontal="center" vertical="center"/>
    </xf>
    <xf numFmtId="184" fontId="3" fillId="3" borderId="106" xfId="1" applyNumberFormat="1" applyFont="1" applyFill="1" applyBorder="1" applyAlignment="1">
      <alignment horizontal="center" vertical="center"/>
    </xf>
    <xf numFmtId="184" fontId="3" fillId="3" borderId="103" xfId="1" applyNumberFormat="1" applyFont="1" applyFill="1" applyBorder="1" applyAlignment="1">
      <alignment horizontal="center" vertic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2" borderId="106" xfId="1" applyNumberFormat="1" applyFont="1" applyFill="1" applyBorder="1" applyAlignment="1">
      <alignment horizontal="center" vertical="center"/>
    </xf>
    <xf numFmtId="184" fontId="3" fillId="3" borderId="104"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xf numFmtId="0" fontId="9" fillId="6" borderId="27" xfId="7" applyFont="1" applyFill="1" applyBorder="1" applyAlignment="1" applyProtection="1">
      <alignment horizontal="center" vertical="center"/>
    </xf>
    <xf numFmtId="184" fontId="3" fillId="15" borderId="8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xf numFmtId="184" fontId="3" fillId="3" borderId="86" xfId="1" applyNumberFormat="1" applyFont="1" applyFill="1" applyBorder="1" applyAlignment="1">
      <alignment horizontal="center" vertical="center"/>
    </xf>
    <xf numFmtId="184" fontId="4" fillId="51" borderId="40" xfId="1" applyNumberFormat="1" applyFont="1" applyFill="1" applyBorder="1" applyAlignment="1">
      <alignment horizontal="center" vertical="center"/>
    </xf>
    <xf numFmtId="184" fontId="3" fillId="17" borderId="86"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38">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74084</xdr:rowOff>
    </xdr:from>
    <xdr:to>
      <xdr:col>14</xdr:col>
      <xdr:colOff>447099</xdr:colOff>
      <xdr:row>41</xdr:row>
      <xdr:rowOff>160911</xdr:rowOff>
    </xdr:to>
    <xdr:pic>
      <xdr:nvPicPr>
        <xdr:cNvPr id="4" name="Image 3"/>
        <xdr:cNvPicPr>
          <a:picLocks noChangeAspect="1"/>
        </xdr:cNvPicPr>
      </xdr:nvPicPr>
      <xdr:blipFill>
        <a:blip xmlns:r="http://schemas.openxmlformats.org/officeDocument/2006/relationships" r:embed="rId1"/>
        <a:stretch>
          <a:fillRect/>
        </a:stretch>
      </xdr:blipFill>
      <xdr:spPr>
        <a:xfrm>
          <a:off x="74083" y="74084"/>
          <a:ext cx="11041016" cy="78973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238126</xdr:colOff>
      <xdr:row>21</xdr:row>
      <xdr:rowOff>71438</xdr:rowOff>
    </xdr:from>
    <xdr:ext cx="14707293" cy="2690929"/>
    <xdr:sp macro="" textlink="Paramètres!$B$81">
      <xdr:nvSpPr>
        <xdr:cNvPr id="3" name="Rectangle 2"/>
        <xdr:cNvSpPr/>
      </xdr:nvSpPr>
      <xdr:spPr>
        <a:xfrm rot="-1080000">
          <a:off x="238126" y="461962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55858</xdr:colOff>
      <xdr:row>17</xdr:row>
      <xdr:rowOff>142875</xdr:rowOff>
    </xdr:from>
    <xdr:ext cx="14707293" cy="2690929"/>
    <xdr:sp macro="" textlink="Paramètres!$B$81">
      <xdr:nvSpPr>
        <xdr:cNvPr id="3" name="Rectangle 2"/>
        <xdr:cNvSpPr/>
      </xdr:nvSpPr>
      <xdr:spPr>
        <a:xfrm rot="-1080000">
          <a:off x="55858" y="382190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55859</xdr:colOff>
      <xdr:row>22</xdr:row>
      <xdr:rowOff>83343</xdr:rowOff>
    </xdr:from>
    <xdr:ext cx="14707293" cy="2690929"/>
    <xdr:sp macro="" textlink="Paramètres!$B$81">
      <xdr:nvSpPr>
        <xdr:cNvPr id="2" name="Rectangle 1"/>
        <xdr:cNvSpPr/>
      </xdr:nvSpPr>
      <xdr:spPr>
        <a:xfrm rot="-1080000">
          <a:off x="55859" y="471487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1016000</xdr:colOff>
      <xdr:row>13</xdr:row>
      <xdr:rowOff>84666</xdr:rowOff>
    </xdr:from>
    <xdr:ext cx="14707293" cy="2690929"/>
    <xdr:sp macro="" textlink="Paramètres!$B$81">
      <xdr:nvSpPr>
        <xdr:cNvPr id="3" name="Rectangle 2"/>
        <xdr:cNvSpPr/>
      </xdr:nvSpPr>
      <xdr:spPr>
        <a:xfrm rot="-1080000">
          <a:off x="1016000" y="3280833"/>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750093</xdr:colOff>
      <xdr:row>14</xdr:row>
      <xdr:rowOff>130969</xdr:rowOff>
    </xdr:from>
    <xdr:ext cx="14707293" cy="2690929"/>
    <xdr:sp macro="" textlink="Paramètres!$B$81">
      <xdr:nvSpPr>
        <xdr:cNvPr id="3" name="Rectangle 2"/>
        <xdr:cNvSpPr/>
      </xdr:nvSpPr>
      <xdr:spPr>
        <a:xfrm rot="-1080000">
          <a:off x="916781" y="359568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55858</xdr:colOff>
      <xdr:row>17</xdr:row>
      <xdr:rowOff>134864</xdr:rowOff>
    </xdr:from>
    <xdr:ext cx="14707293" cy="2690929"/>
    <xdr:sp macro="" textlink="Paramètres!$B$81">
      <xdr:nvSpPr>
        <xdr:cNvPr id="3" name="Rectangle 2"/>
        <xdr:cNvSpPr/>
      </xdr:nvSpPr>
      <xdr:spPr>
        <a:xfrm rot="-1080000">
          <a:off x="55858" y="395677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55858</xdr:colOff>
      <xdr:row>14</xdr:row>
      <xdr:rowOff>50797</xdr:rowOff>
    </xdr:from>
    <xdr:ext cx="14707293" cy="2690929"/>
    <xdr:sp macro="" textlink="Paramètres!$B$81">
      <xdr:nvSpPr>
        <xdr:cNvPr id="3" name="Rectangle 2"/>
        <xdr:cNvSpPr/>
      </xdr:nvSpPr>
      <xdr:spPr>
        <a:xfrm rot="-1080000">
          <a:off x="55858" y="2726264"/>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55858</xdr:colOff>
      <xdr:row>10</xdr:row>
      <xdr:rowOff>127000</xdr:rowOff>
    </xdr:from>
    <xdr:ext cx="14707293" cy="2690929"/>
    <xdr:sp macro="" textlink="Paramètres!$B$81">
      <xdr:nvSpPr>
        <xdr:cNvPr id="3" name="Rectangle 2"/>
        <xdr:cNvSpPr/>
      </xdr:nvSpPr>
      <xdr:spPr>
        <a:xfrm rot="-1080000">
          <a:off x="55858" y="273050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55857</xdr:colOff>
      <xdr:row>12</xdr:row>
      <xdr:rowOff>25325</xdr:rowOff>
    </xdr:from>
    <xdr:ext cx="14707293" cy="2690929"/>
    <xdr:sp macro="" textlink="Paramètres!$B$81">
      <xdr:nvSpPr>
        <xdr:cNvPr id="3" name="Rectangle 2"/>
        <xdr:cNvSpPr/>
      </xdr:nvSpPr>
      <xdr:spPr>
        <a:xfrm rot="-1080000">
          <a:off x="5585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42334</xdr:colOff>
      <xdr:row>25</xdr:row>
      <xdr:rowOff>1</xdr:rowOff>
    </xdr:from>
    <xdr:ext cx="14707293" cy="2690929"/>
    <xdr:sp macro="" textlink="Paramètres!$B$81">
      <xdr:nvSpPr>
        <xdr:cNvPr id="3" name="Rectangle 2"/>
        <xdr:cNvSpPr/>
      </xdr:nvSpPr>
      <xdr:spPr>
        <a:xfrm rot="-1080000">
          <a:off x="190501" y="4540251"/>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ètres!$B$81">
      <xdr:nvSpPr>
        <xdr:cNvPr id="3" name="Rectangle 2"/>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ètres!$B$81">
      <xdr:nvSpPr>
        <xdr:cNvPr id="2" name="Rectangle 1"/>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55858</xdr:colOff>
      <xdr:row>14</xdr:row>
      <xdr:rowOff>154781</xdr:rowOff>
    </xdr:from>
    <xdr:ext cx="14707293" cy="2690929"/>
    <xdr:sp macro="" textlink="Paramètres!$B$81">
      <xdr:nvSpPr>
        <xdr:cNvPr id="3" name="Rectangle 2"/>
        <xdr:cNvSpPr/>
      </xdr:nvSpPr>
      <xdr:spPr>
        <a:xfrm rot="-1080000">
          <a:off x="55858" y="328612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4\Volet%20technique\Grille%20de%20calcul%20Excel\09%20-%20Publication%20web%20Mai%202014\Non%20verrouill&#233;s\Tarif%202014%20-Publication%202014-05-02%20FR%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tables/table1.xml><?xml version="1.0" encoding="utf-8"?>
<table xmlns="http://schemas.openxmlformats.org/spreadsheetml/2006/main" id="1" name="tblMatières" displayName="tblMatières" ref="B4:R35" totalsRowCount="1" headerRowDxfId="36" dataDxfId="35" totalsRowDxfId="34">
  <autoFilter ref="B4:R34"/>
  <tableColumns count="17">
    <tableColumn id="2" name="Catégorie" totalsRowLabel="Total" dataDxfId="33" totalsRowDxfId="32"/>
    <tableColumn id="3" name="Sous-catégorie" dataDxfId="31" totalsRowDxfId="30"/>
    <tableColumn id="1" name="Matière" dataDxfId="29" totalsRowDxfId="28"/>
    <tableColumn id="26" name="Ordre" dataDxfId="27" totalsRowDxfId="26"/>
    <tableColumn id="4" name="Nombre déclarations" totalsRowFunction="sum" dataDxfId="25" totalsRowDxfId="24">
      <calculatedColumnFormula>INDEX(rgDéclaration_NbDécl,MATCH(tblMatières[[#This Row],[Matière]],rgDéclaration_Matières,0))</calculatedColumnFormula>
    </tableColumn>
    <tableColumn id="5" name="Quantité attendue net (kg)" totalsRowFunction="sum" dataDxfId="23" totalsRowDxfId="22">
      <calculatedColumnFormula>INT(INDEX(rgDéclaration_QtéFinale,MATCH(tblMatières[[#This Row],[Matière]],rgDéclaration_Matières,0)))</calculatedColumnFormula>
    </tableColumn>
    <tableColumn id="6" name="Quantité déclarée (tonnes)" totalsRowFunction="sum" dataDxfId="21" totalsRowDxfId="20">
      <calculatedColumnFormula>tblMatières[[#This Row],[Quantité attendue net (kg)]]/1000</calculatedColumnFormula>
    </tableColumn>
    <tableColumn id="7" name="Quantité générée (tonnes)" totalsRowFunction="sum" dataDxfId="19" totalsRowDxfId="18">
      <calculatedColumnFormula>tblMatières[[#This Row],[Quantité déclarée (tonnes)]]</calculatedColumnFormula>
    </tableColumn>
    <tableColumn id="8" name="Quantité récupérée (tonnes)" totalsRowFunction="sum" dataDxfId="17" totalsRowDxfId="16">
      <calculatedColumnFormula>tblMatières[[#This Row],[Quantité générée (tonnes)]]*tblMatières[[#This Row],[% récupération]]</calculatedColumnFormula>
    </tableColumn>
    <tableColumn id="10" name="Quantité éliminée (t)" totalsRowFunction="sum" dataDxfId="15" totalsRowDxfId="14">
      <calculatedColumnFormula>tblMatières[[#This Row],[Quantité générée (tonnes)]]-tblMatières[[#This Row],[Quantité récupérée (tonnes)]]</calculatedColumnFormula>
    </tableColumn>
    <tableColumn id="9" name="% récupération" dataDxfId="13" totalsRowDxfId="12" dataCellStyle="Pourcentage">
      <calculatedColumnFormula>INDEX(Caractérisation!$F$7:$F$36,MATCH(tblMatières[[#This Row],[Matière]],Caractérisation!$B$7:$B$36,0))</calculatedColumnFormula>
    </tableColumn>
    <tableColumn id="12" name="Coût brut" dataDxfId="11" totalsRowDxfId="10" dataCellStyle="Monétaire">
      <calculatedColumnFormula>INDEX(Paramètres!$C$48:$C$77,MATCH(tblMatières[[#This Row],[Matière]],Paramètres!$B$48:$B$77,0))</calculatedColumnFormula>
    </tableColumn>
    <tableColumn id="13" name="Revenu brut" dataDxfId="9" totalsRowDxfId="8" dataCellStyle="Monétaire">
      <calculatedColumnFormula>INDEX(Paramètres!$D$48:$D$77,MATCH(tblMatières[[#This Row],[Matière]],Paramètres!$B$48:$B$77,0))</calculatedColumnFormula>
    </tableColumn>
    <tableColumn id="11" name="Coût net ACA" dataDxfId="7" totalsRowDxfId="6" dataCellStyle="Monétaire">
      <calculatedColumnFormula>tblMatières[[#This Row],[Coût brut]]-tblMatières[[#This Row],[Revenu brut]]</calculatedColumnFormula>
    </tableColumn>
    <tableColumn id="14" name="Frais d'étude" dataDxfId="5" totalsRowDxfId="4" dataCellStyle="Monétaire">
      <calculatedColumnFormula>INDEX(Paramètres!$E$48:$E$77,MATCH(tblMatières[[#This Row],[Matière]],Paramètres!$B$48:$B$77,0))</calculatedColumnFormula>
    </tableColumn>
    <tableColumn id="42" name="Quantité déclarée précédente" dataDxfId="3" totalsRowDxfId="2"/>
    <tableColumn id="43" name="Taux précédent" dataDxfId="1" totalsRowDxfId="0" dataCellStyle="Monétaire"/>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ecoentreprises.qc.ca/documents/pdf/caracterisation_2012-2013_rapport_synthese_fr_final.pdf"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0" zoomScaleNormal="90" workbookViewId="0">
      <selection activeCell="S14" sqref="S14"/>
    </sheetView>
  </sheetViews>
  <sheetFormatPr baseColWidth="10" defaultRowHeight="14.4"/>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4"/>
  <sheetViews>
    <sheetView showGridLines="0" zoomScale="80" zoomScaleNormal="80" zoomScaleSheetLayoutView="55" workbookViewId="0">
      <pane xSplit="2" ySplit="9" topLeftCell="C10" activePane="bottomRight" state="frozen"/>
      <selection pane="topRight" activeCell="C1" sqref="C1"/>
      <selection pane="bottomLeft" activeCell="A10" sqref="A10"/>
      <selection pane="bottomRight" activeCell="J31" sqref="J31"/>
    </sheetView>
  </sheetViews>
  <sheetFormatPr baseColWidth="10" defaultColWidth="9.109375" defaultRowHeight="14.4"/>
  <cols>
    <col min="1" max="1" width="25.44140625" customWidth="1"/>
    <col min="2" max="2" width="49.5546875" customWidth="1"/>
    <col min="3" max="3" width="16.109375" customWidth="1"/>
    <col min="4" max="4" width="17" customWidth="1"/>
    <col min="5" max="5" width="15.88671875" customWidth="1"/>
    <col min="6" max="6" width="17.44140625" customWidth="1"/>
    <col min="7" max="7" width="14" bestFit="1" customWidth="1"/>
    <col min="8" max="8" width="21" bestFit="1" customWidth="1"/>
    <col min="9" max="9" width="18.5546875" bestFit="1" customWidth="1"/>
    <col min="10" max="10" width="19.5546875" bestFit="1" customWidth="1"/>
    <col min="11" max="11" width="15.6640625" bestFit="1" customWidth="1"/>
    <col min="12" max="12" width="17.88671875" bestFit="1" customWidth="1"/>
  </cols>
  <sheetData>
    <row r="1" spans="1:12" s="159" customFormat="1" ht="15" thickBot="1">
      <c r="A1" s="4" t="s">
        <v>60</v>
      </c>
      <c r="B1" s="36"/>
    </row>
    <row r="2" spans="1:12" ht="7.5" customHeight="1" thickBot="1">
      <c r="A2" s="35"/>
      <c r="B2" s="35"/>
    </row>
    <row r="3" spans="1:12" ht="18" thickBot="1">
      <c r="A3" s="93" t="str">
        <f>Paramètres!B4</f>
        <v>Tarif</v>
      </c>
      <c r="B3" s="245">
        <f>AnnéeTarif</f>
        <v>2016</v>
      </c>
    </row>
    <row r="4" spans="1:12" ht="18" thickBot="1">
      <c r="A4" s="93" t="str">
        <f>Paramètres!B5</f>
        <v>Scénario</v>
      </c>
      <c r="B4" s="245" t="str">
        <f>Paramètres!C5</f>
        <v>Publication Juillet 2016</v>
      </c>
    </row>
    <row r="5" spans="1:12" ht="18" thickBot="1">
      <c r="A5" s="93" t="str">
        <f>Paramètres!B6</f>
        <v>Année de référence</v>
      </c>
      <c r="B5" s="94">
        <f>AnnéeRéf</f>
        <v>2015</v>
      </c>
    </row>
    <row r="6" spans="1:12" ht="15.75" customHeight="1">
      <c r="A6" s="105"/>
      <c r="B6" s="174"/>
      <c r="C6" s="654"/>
      <c r="D6" s="655"/>
      <c r="E6" s="655"/>
      <c r="F6" s="656"/>
      <c r="G6" s="637" t="s">
        <v>60</v>
      </c>
      <c r="H6" s="638"/>
      <c r="I6" s="638"/>
      <c r="J6" s="638"/>
      <c r="K6" s="638"/>
      <c r="L6" s="638"/>
    </row>
    <row r="7" spans="1:12" ht="50.25" customHeight="1" thickBot="1">
      <c r="A7" s="42" t="str">
        <f>'Sommaire exécutif'!A7</f>
        <v>CATÉGORIE</v>
      </c>
      <c r="B7" s="18" t="str">
        <f>'Sommaire exécutif'!B7</f>
        <v>Matière</v>
      </c>
      <c r="C7" s="44" t="str">
        <f>'Facteur 1'!C7</f>
        <v xml:space="preserve">Quantité générée
(tonnes) </v>
      </c>
      <c r="D7" s="44" t="str">
        <f>'Facteur 1'!D7</f>
        <v xml:space="preserve">Quantité récupérée
(tonnes) </v>
      </c>
      <c r="E7" s="44" t="str">
        <f>'Facteur 1'!E7</f>
        <v xml:space="preserve">Quantité éliminée
(tonnes) </v>
      </c>
      <c r="F7" s="47" t="str">
        <f>'Facteur 1'!F7</f>
        <v>Quantité déclarée 
(tonnes)</v>
      </c>
      <c r="G7" s="74" t="s">
        <v>87</v>
      </c>
      <c r="H7" s="170" t="s">
        <v>88</v>
      </c>
      <c r="I7" s="170" t="s">
        <v>116</v>
      </c>
      <c r="J7" s="170" t="s">
        <v>89</v>
      </c>
      <c r="K7" s="170" t="str">
        <f>'Facteur 1'!$G$7</f>
        <v>Proportion par catégorie
(%)</v>
      </c>
      <c r="L7" s="170" t="s">
        <v>90</v>
      </c>
    </row>
    <row r="8" spans="1:12" ht="15" thickBot="1">
      <c r="A8" s="99"/>
      <c r="B8" s="171" t="s">
        <v>71</v>
      </c>
      <c r="C8" s="71"/>
      <c r="D8" s="71"/>
      <c r="E8" s="71"/>
      <c r="F8" s="72"/>
      <c r="G8" s="172">
        <v>0.2</v>
      </c>
      <c r="H8" s="173"/>
      <c r="I8" s="173"/>
      <c r="J8" s="173"/>
      <c r="K8" s="173"/>
      <c r="L8" s="173"/>
    </row>
    <row r="9" spans="1:12">
      <c r="A9" s="43" t="str">
        <f>'Sommaire exécutif'!A8</f>
        <v>IMPRIMÉS</v>
      </c>
      <c r="B9" s="45"/>
      <c r="C9" s="104"/>
      <c r="D9" s="79"/>
      <c r="E9" s="79"/>
      <c r="F9" s="103"/>
      <c r="G9" s="132"/>
      <c r="H9" s="83"/>
      <c r="I9" s="133"/>
      <c r="J9" s="133"/>
      <c r="K9" s="79"/>
      <c r="L9" s="138"/>
    </row>
    <row r="10" spans="1:12">
      <c r="A10" s="38"/>
      <c r="B10" s="37" t="str">
        <f>INDEX(ListeMatières,1)</f>
        <v>Encarts et circulaires imprimés sur du papier journal</v>
      </c>
      <c r="C10" s="58">
        <f>INDEX(tblMatières[Quantité générée (tonnes)],MATCH($B10,tblMatières[Matière],0))</f>
        <v>97857.077999999994</v>
      </c>
      <c r="D10" s="26">
        <f>INDEX(tblMatières[Quantité récupérée (tonnes)],MATCH($B10,tblMatières[Matière],0))</f>
        <v>83603.981319046245</v>
      </c>
      <c r="E10" s="26">
        <f t="shared" ref="E10:E15" si="0">C10-D10</f>
        <v>14253.096680953749</v>
      </c>
      <c r="F10" s="48">
        <f>INDEX(tblMatières[Quantité déclarée (tonnes)],MATCH($B10,tblMatières[Matière],0))</f>
        <v>97857.077999999994</v>
      </c>
      <c r="G10" s="208">
        <f t="shared" ref="G10:G15" si="1">ObjectifRecup*C10</f>
        <v>97857.077999999994</v>
      </c>
      <c r="H10" s="215">
        <f t="shared" ref="H10:H15" si="2">G10-D10</f>
        <v>14253.096680953749</v>
      </c>
      <c r="I10" s="221">
        <f>INDEX(tblMatières[Coût net ACA],MATCH($B10,tblMatières[Matière],0))</f>
        <v>94.395819569791769</v>
      </c>
      <c r="J10" s="324">
        <f t="shared" ref="J10:J15" si="3">MAX(0,I10*H10)</f>
        <v>1345432.7426061081</v>
      </c>
      <c r="K10" s="78">
        <f t="shared" ref="K10:K15" si="4">$J10/$J$16</f>
        <v>0.42423212828768903</v>
      </c>
      <c r="L10" s="324">
        <f t="shared" ref="L10:L15" si="5">K10*$L$53</f>
        <v>2583545.911938793</v>
      </c>
    </row>
    <row r="11" spans="1:12">
      <c r="A11" s="38"/>
      <c r="B11" s="37" t="str">
        <f>INDEX(ListeMatières,2)</f>
        <v>Catalogues et publications</v>
      </c>
      <c r="C11" s="58">
        <f>INDEX(tblMatières[Quantité générée (tonnes)],MATCH($B11,tblMatières[Matière],0))</f>
        <v>16849.689999999999</v>
      </c>
      <c r="D11" s="26">
        <f>INDEX(tblMatières[Quantité récupérée (tonnes)],MATCH($B11,tblMatières[Matière],0))</f>
        <v>13513.311672303862</v>
      </c>
      <c r="E11" s="26">
        <f t="shared" si="0"/>
        <v>3336.3783276961367</v>
      </c>
      <c r="F11" s="48">
        <f>INDEX(tblMatières[Quantité déclarée (tonnes)],MATCH($B11,tblMatières[Matière],0))</f>
        <v>16849.689999999999</v>
      </c>
      <c r="G11" s="209">
        <f t="shared" si="1"/>
        <v>16849.689999999999</v>
      </c>
      <c r="H11" s="216">
        <f t="shared" si="2"/>
        <v>3336.3783276961367</v>
      </c>
      <c r="I11" s="222">
        <f>INDEX(tblMatières[Coût net ACA],MATCH($B11,tblMatières[Matière],0))</f>
        <v>93.239891555735525</v>
      </c>
      <c r="J11" s="325">
        <f t="shared" si="3"/>
        <v>311083.55346329405</v>
      </c>
      <c r="K11" s="77">
        <f t="shared" si="4"/>
        <v>9.8088617722652413E-2</v>
      </c>
      <c r="L11" s="326">
        <f t="shared" si="5"/>
        <v>597353.26588285586</v>
      </c>
    </row>
    <row r="12" spans="1:12">
      <c r="A12" s="38"/>
      <c r="B12" s="37" t="str">
        <f>INDEX(ListeMatières,3)</f>
        <v>Magazines</v>
      </c>
      <c r="C12" s="58">
        <f>INDEX(tblMatières[Quantité générée (tonnes)],MATCH($B12,tblMatières[Matière],0))</f>
        <v>10816.571</v>
      </c>
      <c r="D12" s="26">
        <f>INDEX(tblMatières[Quantité récupérée (tonnes)],MATCH($B12,tblMatières[Matière],0))</f>
        <v>9110.2160408458858</v>
      </c>
      <c r="E12" s="26">
        <f t="shared" si="0"/>
        <v>1706.3549591541141</v>
      </c>
      <c r="F12" s="48">
        <f>INDEX(tblMatières[Quantité déclarée (tonnes)],MATCH($B12,tblMatières[Matière],0))</f>
        <v>10816.571</v>
      </c>
      <c r="G12" s="209">
        <f t="shared" si="1"/>
        <v>10816.571</v>
      </c>
      <c r="H12" s="216">
        <f t="shared" si="2"/>
        <v>1706.3549591541141</v>
      </c>
      <c r="I12" s="223">
        <f>INDEX(tblMatières[Coût net ACA],MATCH($B12,tblMatières[Matière],0))</f>
        <v>90.789718789252021</v>
      </c>
      <c r="J12" s="326">
        <f t="shared" si="3"/>
        <v>154919.48689624763</v>
      </c>
      <c r="K12" s="77">
        <f t="shared" si="4"/>
        <v>4.8848092928025874E-2</v>
      </c>
      <c r="L12" s="326">
        <f t="shared" si="5"/>
        <v>297481.69074225635</v>
      </c>
    </row>
    <row r="13" spans="1:12">
      <c r="A13" s="38"/>
      <c r="B13" s="37" t="str">
        <f>INDEX(ListeMatières,4)</f>
        <v>Annuaires téléphoniques</v>
      </c>
      <c r="C13" s="58">
        <f>INDEX(tblMatières[Quantité générée (tonnes)],MATCH($B13,tblMatières[Matière],0))</f>
        <v>1956.9110000000001</v>
      </c>
      <c r="D13" s="26">
        <f>INDEX(tblMatières[Quantité récupérée (tonnes)],MATCH($B13,tblMatières[Matière],0))</f>
        <v>1761.6059678635033</v>
      </c>
      <c r="E13" s="26">
        <f t="shared" si="0"/>
        <v>195.30503213649672</v>
      </c>
      <c r="F13" s="48">
        <f>INDEX(tblMatières[Quantité déclarée (tonnes)],MATCH($B13,tblMatières[Matière],0))</f>
        <v>1956.9110000000001</v>
      </c>
      <c r="G13" s="209">
        <f t="shared" si="1"/>
        <v>1956.9110000000001</v>
      </c>
      <c r="H13" s="216">
        <f t="shared" si="2"/>
        <v>195.30503213649672</v>
      </c>
      <c r="I13" s="223">
        <f>INDEX(tblMatières[Coût net ACA],MATCH($B13,tblMatières[Matière],0))</f>
        <v>95.64482468551175</v>
      </c>
      <c r="J13" s="326">
        <f t="shared" si="3"/>
        <v>18679.915558893466</v>
      </c>
      <c r="K13" s="77">
        <f t="shared" si="4"/>
        <v>5.8900159649999846E-3</v>
      </c>
      <c r="L13" s="326">
        <f t="shared" si="5"/>
        <v>35869.811956605474</v>
      </c>
    </row>
    <row r="14" spans="1:12">
      <c r="A14" s="38"/>
      <c r="B14" s="37" t="str">
        <f>INDEX(ListeMatières,5)</f>
        <v>Papier à usage général</v>
      </c>
      <c r="C14" s="58">
        <f>INDEX(tblMatières[Quantité générée (tonnes)],MATCH($B14,tblMatières[Matière],0))</f>
        <v>4514.6930000000002</v>
      </c>
      <c r="D14" s="26">
        <f>INDEX(tblMatières[Quantité récupérée (tonnes)],MATCH($B14,tblMatières[Matière],0))</f>
        <v>2990.2667386915787</v>
      </c>
      <c r="E14" s="26">
        <f t="shared" si="0"/>
        <v>1524.4262613084215</v>
      </c>
      <c r="F14" s="48">
        <f>INDEX(tblMatières[Quantité déclarée (tonnes)],MATCH($B14,tblMatières[Matière],0))</f>
        <v>4514.6930000000002</v>
      </c>
      <c r="G14" s="209">
        <f t="shared" si="1"/>
        <v>4514.6930000000002</v>
      </c>
      <c r="H14" s="216">
        <f t="shared" si="2"/>
        <v>1524.4262613084215</v>
      </c>
      <c r="I14" s="223">
        <f>INDEX(tblMatières[Coût net ACA],MATCH($B14,tblMatières[Matière],0))</f>
        <v>96.536212132836539</v>
      </c>
      <c r="J14" s="326">
        <f t="shared" si="3"/>
        <v>147162.3369425367</v>
      </c>
      <c r="K14" s="77">
        <f t="shared" si="4"/>
        <v>4.640216446939837E-2</v>
      </c>
      <c r="L14" s="326">
        <f t="shared" si="5"/>
        <v>282586.14641918102</v>
      </c>
    </row>
    <row r="15" spans="1:12">
      <c r="A15" s="38"/>
      <c r="B15" s="37" t="str">
        <f>INDEX(ListeMatières,6)</f>
        <v>Autres imprimés</v>
      </c>
      <c r="C15" s="58">
        <f>INDEX(tblMatières[Quantité générée (tonnes)],MATCH($B15,tblMatières[Matière],0))</f>
        <v>26023.886999999999</v>
      </c>
      <c r="D15" s="26">
        <f>INDEX(tblMatières[Quantité récupérée (tonnes)],MATCH($B15,tblMatières[Matière],0))</f>
        <v>14888.300480798885</v>
      </c>
      <c r="E15" s="26">
        <f t="shared" si="0"/>
        <v>11135.586519201113</v>
      </c>
      <c r="F15" s="48">
        <f>INDEX(tblMatières[Quantité déclarée (tonnes)],MATCH($B15,tblMatières[Matière],0))</f>
        <v>26023.886999999999</v>
      </c>
      <c r="G15" s="210">
        <f t="shared" si="1"/>
        <v>26023.886999999999</v>
      </c>
      <c r="H15" s="217">
        <f t="shared" si="2"/>
        <v>11135.586519201113</v>
      </c>
      <c r="I15" s="224">
        <f>INDEX(tblMatières[Coût net ACA],MATCH($B15,tblMatières[Matière],0))</f>
        <v>107.23962402961833</v>
      </c>
      <c r="J15" s="327">
        <f t="shared" si="3"/>
        <v>1194176.1116684135</v>
      </c>
      <c r="K15" s="154">
        <f t="shared" si="4"/>
        <v>0.37653898062723434</v>
      </c>
      <c r="L15" s="327">
        <f t="shared" si="5"/>
        <v>2293097.7623302322</v>
      </c>
    </row>
    <row r="16" spans="1:12" ht="15" thickBot="1">
      <c r="A16" s="55" t="str">
        <f>'Sommaire exécutif'!A15</f>
        <v>IMPRIMÉS TOTAL</v>
      </c>
      <c r="B16" s="50"/>
      <c r="C16" s="59">
        <f>SUBTOTAL(9,C10:C15)</f>
        <v>158018.82999999999</v>
      </c>
      <c r="D16" s="21">
        <f t="shared" ref="D16:H16" si="6">SUBTOTAL(9,D10:D15)</f>
        <v>125867.68221954998</v>
      </c>
      <c r="E16" s="21">
        <f t="shared" si="6"/>
        <v>32151.147780450032</v>
      </c>
      <c r="F16" s="28">
        <f t="shared" si="6"/>
        <v>158018.82999999999</v>
      </c>
      <c r="G16" s="59">
        <f t="shared" si="6"/>
        <v>158018.82999999999</v>
      </c>
      <c r="H16" s="21">
        <f t="shared" si="6"/>
        <v>32151.147780450032</v>
      </c>
      <c r="I16" s="225"/>
      <c r="J16" s="328">
        <f>SUBTOTAL(9,J10:J15)</f>
        <v>3171454.1471354933</v>
      </c>
      <c r="K16" s="464">
        <f>SUBTOTAL(9,K10:K15)</f>
        <v>0.99999999999999989</v>
      </c>
      <c r="L16" s="328">
        <f>SUBTOTAL(9,L10:L15)</f>
        <v>6089934.589269924</v>
      </c>
    </row>
    <row r="17" spans="1:12">
      <c r="A17" s="38"/>
      <c r="B17" s="39"/>
      <c r="C17" s="38"/>
      <c r="D17" s="35"/>
      <c r="E17" s="35"/>
      <c r="F17" s="39"/>
      <c r="G17" s="211"/>
      <c r="H17" s="218"/>
      <c r="I17" s="203"/>
      <c r="J17" s="329"/>
      <c r="K17" s="80"/>
      <c r="L17" s="332"/>
    </row>
    <row r="18" spans="1:12">
      <c r="A18" s="43" t="str">
        <f>'Sommaire exécutif'!A17</f>
        <v>CONTENANTS ET EMBALLAGES</v>
      </c>
      <c r="B18" s="45"/>
      <c r="C18" s="34"/>
      <c r="D18" s="11"/>
      <c r="E18" s="11"/>
      <c r="F18" s="45"/>
      <c r="G18" s="212"/>
      <c r="H18" s="219"/>
      <c r="I18" s="204"/>
      <c r="J18" s="330"/>
      <c r="K18" s="79"/>
      <c r="L18" s="334"/>
    </row>
    <row r="19" spans="1:12">
      <c r="A19" s="46" t="str">
        <f>'Sommaire exécutif'!A18</f>
        <v>Papier et carton</v>
      </c>
      <c r="B19" s="37" t="str">
        <f>INDEX(ListeMatières,7)</f>
        <v>Carton ondulé</v>
      </c>
      <c r="C19" s="58">
        <f>INDEX(tblMatières[Quantité générée (tonnes)],MATCH($B19,tblMatières[Matière],0))</f>
        <v>56835.883000000002</v>
      </c>
      <c r="D19" s="26">
        <f>INDEX(tblMatières[Quantité récupérée (tonnes)],MATCH($B19,tblMatières[Matière],0))</f>
        <v>40298.230838201678</v>
      </c>
      <c r="E19" s="26">
        <f t="shared" ref="E19:E25" si="7">C19-D19</f>
        <v>16537.652161798324</v>
      </c>
      <c r="F19" s="48">
        <f>INDEX(tblMatières[Quantité déclarée (tonnes)],MATCH($B19,tblMatières[Matière],0))</f>
        <v>56835.883000000002</v>
      </c>
      <c r="G19" s="208">
        <f t="shared" ref="G19:G25" si="8">ObjectifRecup*C19</f>
        <v>56835.883000000002</v>
      </c>
      <c r="H19" s="216">
        <f t="shared" ref="H19:H25" si="9">G19-D19</f>
        <v>16537.652161798324</v>
      </c>
      <c r="I19" s="223">
        <f>INDEX(tblMatières[Coût net ACA],MATCH($B19,tblMatières[Matière],0))</f>
        <v>153.68613427780843</v>
      </c>
      <c r="J19" s="326">
        <f t="shared" ref="J19:J25" si="10">MAX(0,I19*H19)</f>
        <v>2541607.8307778263</v>
      </c>
      <c r="K19" s="77">
        <f t="shared" ref="K19:K25" si="11">$J19/$J$48</f>
        <v>4.2013201030860162E-2</v>
      </c>
      <c r="L19" s="326">
        <f t="shared" ref="L19:L25" si="12">K19*$L$54</f>
        <v>948255.9154214547</v>
      </c>
    </row>
    <row r="20" spans="1:12">
      <c r="A20" s="46"/>
      <c r="B20" s="37" t="str">
        <f>INDEX(ListeMatières,8)</f>
        <v>Sacs de papier kraft</v>
      </c>
      <c r="C20" s="58">
        <f>INDEX(tblMatières[Quantité générée (tonnes)],MATCH($B20,tblMatières[Matière],0))</f>
        <v>2779.5329999999999</v>
      </c>
      <c r="D20" s="26">
        <f>INDEX(tblMatières[Quantité récupérée (tonnes)],MATCH($B20,tblMatières[Matière],0))</f>
        <v>954.88002661803682</v>
      </c>
      <c r="E20" s="26">
        <f t="shared" si="7"/>
        <v>1824.652973381963</v>
      </c>
      <c r="F20" s="48">
        <f>INDEX(tblMatières[Quantité déclarée (tonnes)],MATCH($B20,tblMatières[Matière],0))</f>
        <v>2779.5329999999999</v>
      </c>
      <c r="G20" s="209">
        <f t="shared" si="8"/>
        <v>2779.5329999999999</v>
      </c>
      <c r="H20" s="216">
        <f t="shared" si="9"/>
        <v>1824.652973381963</v>
      </c>
      <c r="I20" s="223">
        <f>INDEX(tblMatières[Coût net ACA],MATCH($B20,tblMatières[Matière],0))</f>
        <v>153.68613427780843</v>
      </c>
      <c r="J20" s="326">
        <f t="shared" si="10"/>
        <v>280423.86187758279</v>
      </c>
      <c r="K20" s="77">
        <f t="shared" si="11"/>
        <v>4.6354531726900882E-3</v>
      </c>
      <c r="L20" s="326">
        <f t="shared" si="12"/>
        <v>104624.16059261486</v>
      </c>
    </row>
    <row r="21" spans="1:12">
      <c r="A21" s="46"/>
      <c r="B21" s="37" t="str">
        <f>INDEX(ListeMatières,9)</f>
        <v>Emballages de papier kraft</v>
      </c>
      <c r="C21" s="58">
        <f>INDEX(tblMatières[Quantité générée (tonnes)],MATCH($B21,tblMatières[Matière],0))</f>
        <v>311.67700000000002</v>
      </c>
      <c r="D21" s="26">
        <f>INDEX(tblMatières[Quantité récupérée (tonnes)],MATCH($B21,tblMatières[Matière],0))</f>
        <v>99.135800518476543</v>
      </c>
      <c r="E21" s="26">
        <f t="shared" si="7"/>
        <v>212.54119948152348</v>
      </c>
      <c r="F21" s="48">
        <f>INDEX(tblMatières[Quantité déclarée (tonnes)],MATCH($B21,tblMatières[Matière],0))</f>
        <v>311.67700000000002</v>
      </c>
      <c r="G21" s="209">
        <f t="shared" si="8"/>
        <v>311.67700000000002</v>
      </c>
      <c r="H21" s="216">
        <f t="shared" si="9"/>
        <v>212.54119948152348</v>
      </c>
      <c r="I21" s="223">
        <f>INDEX(tblMatières[Coût net ACA],MATCH($B21,tblMatières[Matière],0))</f>
        <v>153.68613427780843</v>
      </c>
      <c r="J21" s="326">
        <f t="shared" si="10"/>
        <v>32664.635323083887</v>
      </c>
      <c r="K21" s="77">
        <f t="shared" si="11"/>
        <v>5.3995186582678667E-4</v>
      </c>
      <c r="L21" s="326">
        <f t="shared" si="12"/>
        <v>12186.944537670695</v>
      </c>
    </row>
    <row r="22" spans="1:12">
      <c r="A22" s="46"/>
      <c r="B22" s="37" t="str">
        <f>INDEX(ListeMatières,10)</f>
        <v>Carton plat et autres emballages de papier</v>
      </c>
      <c r="C22" s="58">
        <f>INDEX(tblMatières[Quantité générée (tonnes)],MATCH($B22,tblMatières[Matière],0))</f>
        <v>87303.759000000005</v>
      </c>
      <c r="D22" s="26">
        <f>INDEX(tblMatières[Quantité récupérée (tonnes)],MATCH($B22,tblMatières[Matière],0))</f>
        <v>49237.634927102714</v>
      </c>
      <c r="E22" s="26">
        <f t="shared" si="7"/>
        <v>38066.124072897292</v>
      </c>
      <c r="F22" s="48">
        <f>INDEX(tblMatières[Quantité déclarée (tonnes)],MATCH($B22,tblMatières[Matière],0))</f>
        <v>87303.759000000005</v>
      </c>
      <c r="G22" s="209">
        <f t="shared" si="8"/>
        <v>87303.759000000005</v>
      </c>
      <c r="H22" s="216">
        <f t="shared" si="9"/>
        <v>38066.124072897292</v>
      </c>
      <c r="I22" s="223">
        <f>INDEX(tblMatières[Coût net ACA],MATCH($B22,tblMatières[Matière],0))</f>
        <v>149.29999999999998</v>
      </c>
      <c r="J22" s="326">
        <f t="shared" si="10"/>
        <v>5683272.3240835648</v>
      </c>
      <c r="K22" s="77">
        <f t="shared" si="11"/>
        <v>9.3945438699633455E-2</v>
      </c>
      <c r="L22" s="326">
        <f t="shared" si="12"/>
        <v>2120388.7299221866</v>
      </c>
    </row>
    <row r="23" spans="1:12">
      <c r="A23" s="46"/>
      <c r="B23" s="37" t="str">
        <f>INDEX(ListeMatières,11)</f>
        <v>Contenants à pignon</v>
      </c>
      <c r="C23" s="58">
        <f>INDEX(tblMatières[Quantité générée (tonnes)],MATCH($B23,tblMatières[Matière],0))</f>
        <v>12195.004999999999</v>
      </c>
      <c r="D23" s="26">
        <f>INDEX(tblMatières[Quantité récupérée (tonnes)],MATCH($B23,tblMatières[Matière],0))</f>
        <v>8372.0581397423357</v>
      </c>
      <c r="E23" s="26">
        <f t="shared" si="7"/>
        <v>3822.9468602576635</v>
      </c>
      <c r="F23" s="48">
        <f>INDEX(tblMatières[Quantité déclarée (tonnes)],MATCH($B23,tblMatières[Matière],0))</f>
        <v>12195.004999999999</v>
      </c>
      <c r="G23" s="209">
        <f t="shared" si="8"/>
        <v>12195.004999999999</v>
      </c>
      <c r="H23" s="216">
        <f t="shared" si="9"/>
        <v>3822.9468602576635</v>
      </c>
      <c r="I23" s="223">
        <f>INDEX(tblMatières[Coût net ACA],MATCH($B23,tblMatières[Matière],0))</f>
        <v>182.28823626808645</v>
      </c>
      <c r="J23" s="326">
        <f t="shared" si="10"/>
        <v>696878.24050298822</v>
      </c>
      <c r="K23" s="77">
        <f t="shared" si="11"/>
        <v>1.1519513458267863E-2</v>
      </c>
      <c r="L23" s="326">
        <f t="shared" si="12"/>
        <v>260000.34540467191</v>
      </c>
    </row>
    <row r="24" spans="1:12">
      <c r="A24" s="46"/>
      <c r="B24" s="37" t="str">
        <f>INDEX(ListeMatières,12)</f>
        <v>Laminés de papier</v>
      </c>
      <c r="C24" s="58">
        <f>INDEX(tblMatières[Quantité générée (tonnes)],MATCH($B24,tblMatières[Matière],0))</f>
        <v>12539.928</v>
      </c>
      <c r="D24" s="26">
        <f>INDEX(tblMatières[Quantité récupérée (tonnes)],MATCH($B24,tblMatières[Matière],0))</f>
        <v>3387.8210957870429</v>
      </c>
      <c r="E24" s="26">
        <f t="shared" si="7"/>
        <v>9152.1069042129566</v>
      </c>
      <c r="F24" s="48">
        <f>INDEX(tblMatières[Quantité déclarée (tonnes)],MATCH($B24,tblMatières[Matière],0))</f>
        <v>12539.928</v>
      </c>
      <c r="G24" s="209">
        <f t="shared" si="8"/>
        <v>12539.928</v>
      </c>
      <c r="H24" s="216">
        <f t="shared" si="9"/>
        <v>9152.1069042129566</v>
      </c>
      <c r="I24" s="223">
        <f>INDEX(tblMatières[Coût net ACA],MATCH($B24,tblMatières[Matière],0))</f>
        <v>226.71233190137519</v>
      </c>
      <c r="J24" s="326">
        <f t="shared" si="10"/>
        <v>2074895.4980647953</v>
      </c>
      <c r="K24" s="77">
        <f t="shared" si="11"/>
        <v>3.4298368388149321E-2</v>
      </c>
      <c r="L24" s="326">
        <f t="shared" si="12"/>
        <v>774128.84320518863</v>
      </c>
    </row>
    <row r="25" spans="1:12">
      <c r="A25" s="46"/>
      <c r="B25" s="37" t="str">
        <f>INDEX(ListeMatières,13)</f>
        <v>Contenants aseptiques</v>
      </c>
      <c r="C25" s="58">
        <f>INDEX(tblMatières[Quantité générée (tonnes)],MATCH($B25,tblMatières[Matière],0))</f>
        <v>6206.049</v>
      </c>
      <c r="D25" s="26">
        <f>INDEX(tblMatières[Quantité récupérée (tonnes)],MATCH($B25,tblMatières[Matière],0))</f>
        <v>3243.8457246695884</v>
      </c>
      <c r="E25" s="26">
        <f t="shared" si="7"/>
        <v>2962.2032753304115</v>
      </c>
      <c r="F25" s="48">
        <f>INDEX(tblMatières[Quantité déclarée (tonnes)],MATCH($B25,tblMatières[Matière],0))</f>
        <v>6206.049</v>
      </c>
      <c r="G25" s="210">
        <f t="shared" si="8"/>
        <v>6206.049</v>
      </c>
      <c r="H25" s="216">
        <f t="shared" si="9"/>
        <v>2962.2032753304115</v>
      </c>
      <c r="I25" s="223">
        <f>INDEX(tblMatières[Coût net ACA],MATCH($B25,tblMatières[Matière],0))</f>
        <v>186.11136672940609</v>
      </c>
      <c r="J25" s="326">
        <f t="shared" si="10"/>
        <v>551299.70010206604</v>
      </c>
      <c r="K25" s="77">
        <f t="shared" si="11"/>
        <v>9.1130759231067629E-3</v>
      </c>
      <c r="L25" s="326">
        <f t="shared" si="12"/>
        <v>205686.02105379492</v>
      </c>
    </row>
    <row r="26" spans="1:12">
      <c r="A26" s="43" t="str">
        <f>'Sommaire exécutif'!A25</f>
        <v>Papier et carton TOTAL</v>
      </c>
      <c r="B26" s="51"/>
      <c r="C26" s="60">
        <f>SUBTOTAL(9,C19:C25)</f>
        <v>178171.83400000003</v>
      </c>
      <c r="D26" s="22">
        <f t="shared" ref="D26:H26" si="13">SUBTOTAL(9,D19:D25)</f>
        <v>105593.60655263987</v>
      </c>
      <c r="E26" s="22">
        <f t="shared" si="13"/>
        <v>72578.227447360128</v>
      </c>
      <c r="F26" s="29">
        <f t="shared" si="13"/>
        <v>178171.83400000003</v>
      </c>
      <c r="G26" s="60">
        <f t="shared" si="13"/>
        <v>178171.83400000003</v>
      </c>
      <c r="H26" s="22">
        <f t="shared" si="13"/>
        <v>72578.227447360128</v>
      </c>
      <c r="I26" s="226"/>
      <c r="J26" s="331">
        <f>SUBTOTAL(9,J19:J25)</f>
        <v>11861042.090731909</v>
      </c>
      <c r="K26" s="89">
        <f t="shared" ref="K26:L26" si="14">SUBTOTAL(9,K19:K25)</f>
        <v>0.1960650025385344</v>
      </c>
      <c r="L26" s="331">
        <f t="shared" si="14"/>
        <v>4425270.9601375824</v>
      </c>
    </row>
    <row r="27" spans="1:12">
      <c r="A27" s="46" t="str">
        <f>'Sommaire exécutif'!A26</f>
        <v>Plastique</v>
      </c>
      <c r="B27" s="37" t="str">
        <f>INDEX(ListeMatières,14)</f>
        <v>Bouteilles PET</v>
      </c>
      <c r="C27" s="58">
        <f>INDEX(tblMatières[Quantité générée (tonnes)],MATCH($B27,tblMatières[Matière],0))</f>
        <v>23327.881000000001</v>
      </c>
      <c r="D27" s="26">
        <f>INDEX(tblMatières[Quantité récupérée (tonnes)],MATCH($B27,tblMatières[Matière],0))</f>
        <v>13712.749776472803</v>
      </c>
      <c r="E27" s="26">
        <f t="shared" ref="E27:E37" si="15">C27-D27</f>
        <v>9615.131223527198</v>
      </c>
      <c r="F27" s="48">
        <f>INDEX(tblMatières[Quantité déclarée (tonnes)],MATCH($B27,tblMatières[Matière],0))</f>
        <v>23327.881000000001</v>
      </c>
      <c r="G27" s="209">
        <f t="shared" ref="G27:G43" si="16">ObjectifRecup*C27</f>
        <v>23327.881000000001</v>
      </c>
      <c r="H27" s="216">
        <f t="shared" ref="H27:H43" si="17">G27-D27</f>
        <v>9615.131223527198</v>
      </c>
      <c r="I27" s="223">
        <f>INDEX(tblMatières[Coût net ACA],MATCH($B27,tblMatières[Matière],0))</f>
        <v>206.00218587957016</v>
      </c>
      <c r="J27" s="326">
        <f t="shared" ref="J27:J37" si="18">MAX(0,I27*H27)</f>
        <v>1980738.0495655087</v>
      </c>
      <c r="K27" s="81">
        <f t="shared" ref="K27:K37" si="19">$J27/$J$48</f>
        <v>3.2741930072037136E-2</v>
      </c>
      <c r="L27" s="335">
        <f t="shared" ref="L27:L37" si="20">K27*$L$54</f>
        <v>738999.36475488241</v>
      </c>
    </row>
    <row r="28" spans="1:12">
      <c r="A28" s="38"/>
      <c r="B28" s="37" t="str">
        <f>INDEX(ListeMatières,15)</f>
        <v>Bouteilles HDPE</v>
      </c>
      <c r="C28" s="58">
        <f>INDEX(tblMatières[Quantité générée (tonnes)],MATCH($B28,tblMatières[Matière],0))</f>
        <v>16585.286</v>
      </c>
      <c r="D28" s="26">
        <f>INDEX(tblMatières[Quantité récupérée (tonnes)],MATCH($B28,tblMatières[Matière],0))</f>
        <v>10304.630443688771</v>
      </c>
      <c r="E28" s="26">
        <f t="shared" si="15"/>
        <v>6280.6555563112288</v>
      </c>
      <c r="F28" s="48">
        <f>INDEX(tblMatières[Quantité déclarée (tonnes)],MATCH($B28,tblMatières[Matière],0))</f>
        <v>16585.286</v>
      </c>
      <c r="G28" s="209">
        <f t="shared" si="16"/>
        <v>16585.286</v>
      </c>
      <c r="H28" s="216">
        <f t="shared" si="17"/>
        <v>6280.6555563112288</v>
      </c>
      <c r="I28" s="223">
        <f>INDEX(tblMatières[Coût net ACA],MATCH($B28,tblMatières[Matière],0))</f>
        <v>79.426164210515594</v>
      </c>
      <c r="J28" s="326">
        <f t="shared" si="18"/>
        <v>498848.37956526282</v>
      </c>
      <c r="K28" s="81">
        <f t="shared" si="19"/>
        <v>8.2460468530191101E-3</v>
      </c>
      <c r="L28" s="335">
        <f t="shared" si="20"/>
        <v>186116.80413197383</v>
      </c>
    </row>
    <row r="29" spans="1:12">
      <c r="A29" s="38"/>
      <c r="B29" s="37" t="str">
        <f>INDEX(ListeMatières,16)</f>
        <v>Plastiques stratifiés</v>
      </c>
      <c r="C29" s="58">
        <f>INDEX(tblMatières[Quantité générée (tonnes)],MATCH($B29,tblMatières[Matière],0))</f>
        <v>12008.449000000001</v>
      </c>
      <c r="D29" s="26">
        <f>INDEX(tblMatières[Quantité récupérée (tonnes)],MATCH($B29,tblMatières[Matière],0))</f>
        <v>1611.1743447144986</v>
      </c>
      <c r="E29" s="26">
        <f t="shared" si="15"/>
        <v>10397.274655285502</v>
      </c>
      <c r="F29" s="48">
        <f>INDEX(tblMatières[Quantité déclarée (tonnes)],MATCH($B29,tblMatières[Matière],0))</f>
        <v>12008.449000000001</v>
      </c>
      <c r="G29" s="209">
        <f t="shared" si="16"/>
        <v>12008.449000000001</v>
      </c>
      <c r="H29" s="216">
        <f t="shared" si="17"/>
        <v>10397.274655285502</v>
      </c>
      <c r="I29" s="223">
        <f>INDEX(tblMatières[Coût net ACA],MATCH($B29,tblMatières[Matière],0))</f>
        <v>529.24187166609318</v>
      </c>
      <c r="J29" s="326">
        <f t="shared" si="18"/>
        <v>5502673.0987897329</v>
      </c>
      <c r="K29" s="81">
        <f t="shared" si="19"/>
        <v>9.0960103406593662E-2</v>
      </c>
      <c r="L29" s="335">
        <f t="shared" si="20"/>
        <v>2053008.4355936954</v>
      </c>
    </row>
    <row r="30" spans="1:12">
      <c r="A30" s="38"/>
      <c r="B30" s="37" t="str">
        <f>INDEX(ListeMatières,17)</f>
        <v>Pellicules HDPE et LDPE</v>
      </c>
      <c r="C30" s="58">
        <f>INDEX(tblMatières[Quantité générée (tonnes)],MATCH($B30,tblMatières[Matière],0))</f>
        <v>21835.475999999999</v>
      </c>
      <c r="D30" s="26">
        <f>INDEX(tblMatières[Quantité récupérée (tonnes)],MATCH($B30,tblMatières[Matière],0))</f>
        <v>4772.5143538478269</v>
      </c>
      <c r="E30" s="26">
        <f t="shared" si="15"/>
        <v>17062.961646152173</v>
      </c>
      <c r="F30" s="48">
        <f>INDEX(tblMatières[Quantité déclarée (tonnes)],MATCH($B30,tblMatières[Matière],0))</f>
        <v>21835.475999999999</v>
      </c>
      <c r="G30" s="209">
        <f t="shared" si="16"/>
        <v>21835.475999999999</v>
      </c>
      <c r="H30" s="216">
        <f t="shared" si="17"/>
        <v>17062.961646152173</v>
      </c>
      <c r="I30" s="223">
        <f>INDEX(tblMatières[Coût net ACA],MATCH($B30,tblMatières[Matière],0))</f>
        <v>635.64689637837682</v>
      </c>
      <c r="J30" s="326">
        <f t="shared" si="18"/>
        <v>10846018.613399908</v>
      </c>
      <c r="K30" s="81">
        <f t="shared" si="19"/>
        <v>0.1792864952929295</v>
      </c>
      <c r="L30" s="335">
        <f t="shared" si="20"/>
        <v>4046572.8757926179</v>
      </c>
    </row>
    <row r="31" spans="1:12">
      <c r="A31" s="38"/>
      <c r="B31" s="37" t="str">
        <f>INDEX(ListeMatières,18)</f>
        <v>Sacs d'emplettes de pellicules HDPE et LDPE</v>
      </c>
      <c r="C31" s="58">
        <f>INDEX(tblMatières[Quantité générée (tonnes)],MATCH($B31,tblMatières[Matière],0))</f>
        <v>9133.4940000000006</v>
      </c>
      <c r="D31" s="26">
        <f>INDEX(tblMatières[Quantité récupérée (tonnes)],MATCH($B31,tblMatières[Matière],0))</f>
        <v>1201.4744535072032</v>
      </c>
      <c r="E31" s="26">
        <f t="shared" si="15"/>
        <v>7932.0195464927974</v>
      </c>
      <c r="F31" s="48">
        <f>INDEX(tblMatières[Quantité déclarée (tonnes)],MATCH($B31,tblMatières[Matière],0))</f>
        <v>9133.4940000000006</v>
      </c>
      <c r="G31" s="209">
        <f t="shared" si="16"/>
        <v>9133.4940000000006</v>
      </c>
      <c r="H31" s="216">
        <f t="shared" si="17"/>
        <v>7932.0195464927974</v>
      </c>
      <c r="I31" s="223">
        <f>INDEX(tblMatières[Coût net ACA],MATCH($B31,tblMatières[Matière],0))</f>
        <v>635.64689637837682</v>
      </c>
      <c r="J31" s="326">
        <f t="shared" si="18"/>
        <v>5041963.6067407671</v>
      </c>
      <c r="K31" s="81">
        <f t="shared" si="19"/>
        <v>8.3344498720502078E-2</v>
      </c>
      <c r="L31" s="335">
        <f t="shared" si="20"/>
        <v>1881120.9807960184</v>
      </c>
    </row>
    <row r="32" spans="1:12">
      <c r="A32" s="38"/>
      <c r="B32" s="37" t="str">
        <f>INDEX(ListeMatières,19)</f>
        <v>Polystyrène expansé alimentaire</v>
      </c>
      <c r="C32" s="58">
        <f>INDEX(tblMatières[Quantité générée (tonnes)],MATCH($B32,tblMatières[Matière],0))</f>
        <v>4325.6270000000004</v>
      </c>
      <c r="D32" s="26">
        <f>INDEX(tblMatières[Quantité récupérée (tonnes)],MATCH($B32,tblMatières[Matière],0))</f>
        <v>310.31781478898597</v>
      </c>
      <c r="E32" s="26">
        <f t="shared" si="15"/>
        <v>4015.3091852110147</v>
      </c>
      <c r="F32" s="48">
        <f>INDEX(tblMatières[Quantité déclarée (tonnes)],MATCH($B32,tblMatières[Matière],0))</f>
        <v>4325.6270000000004</v>
      </c>
      <c r="G32" s="209">
        <f t="shared" si="16"/>
        <v>4325.6270000000004</v>
      </c>
      <c r="H32" s="216">
        <f t="shared" si="17"/>
        <v>4015.3091852110147</v>
      </c>
      <c r="I32" s="223">
        <f>INDEX(tblMatières[Coût net ACA],MATCH($B32,tblMatières[Matière],0))</f>
        <v>1993.7627691914415</v>
      </c>
      <c r="J32" s="326">
        <f t="shared" si="18"/>
        <v>8005573.9602661431</v>
      </c>
      <c r="K32" s="81">
        <f t="shared" si="19"/>
        <v>0.13233347178394092</v>
      </c>
      <c r="L32" s="335">
        <f t="shared" si="20"/>
        <v>2986823.0543825096</v>
      </c>
    </row>
    <row r="33" spans="1:12">
      <c r="A33" s="266"/>
      <c r="B33" s="37" t="str">
        <f>INDEX(ListeMatières,20)</f>
        <v>Polystyrène expansé de protection</v>
      </c>
      <c r="C33" s="58">
        <f>INDEX(tblMatières[Quantité générée (tonnes)],MATCH($B33,tblMatières[Matière],0))</f>
        <v>1850.1969999999999</v>
      </c>
      <c r="D33" s="26">
        <f>INDEX(tblMatières[Quantité récupérée (tonnes)],MATCH($B33,tblMatières[Matière],0))</f>
        <v>606.7541775293505</v>
      </c>
      <c r="E33" s="26">
        <f>C33-D33</f>
        <v>1243.4428224706494</v>
      </c>
      <c r="F33" s="48">
        <f>INDEX(tblMatières[Quantité déclarée (tonnes)],MATCH($B33,tblMatières[Matière],0))</f>
        <v>1850.1969999999999</v>
      </c>
      <c r="G33" s="209">
        <f>ObjectifRecup*C33</f>
        <v>1850.1969999999999</v>
      </c>
      <c r="H33" s="216">
        <f>G33-D33</f>
        <v>1243.4428224706494</v>
      </c>
      <c r="I33" s="223">
        <f>INDEX(tblMatières[Coût net ACA],MATCH($B33,tblMatières[Matière],0))</f>
        <v>1993.7627691914415</v>
      </c>
      <c r="J33" s="326">
        <f>MAX(0,I33*H33)</f>
        <v>2479130.005060304</v>
      </c>
      <c r="K33" s="81">
        <f t="shared" si="19"/>
        <v>4.0980432159103103E-2</v>
      </c>
      <c r="L33" s="335">
        <f t="shared" si="20"/>
        <v>924945.88029255741</v>
      </c>
    </row>
    <row r="34" spans="1:12">
      <c r="A34" s="38"/>
      <c r="B34" s="37" t="str">
        <f>INDEX(ListeMatières,21)</f>
        <v>Polystyrène non expansé</v>
      </c>
      <c r="C34" s="58">
        <f>INDEX(tblMatières[Quantité générée (tonnes)],MATCH($B34,tblMatières[Matière],0))</f>
        <v>4738.9629999999997</v>
      </c>
      <c r="D34" s="26">
        <f>INDEX(tblMatières[Quantité récupérée (tonnes)],MATCH($B34,tblMatières[Matière],0))</f>
        <v>1488.3805294562796</v>
      </c>
      <c r="E34" s="26">
        <f t="shared" si="15"/>
        <v>3250.5824705437199</v>
      </c>
      <c r="F34" s="48">
        <f>INDEX(tblMatières[Quantité déclarée (tonnes)],MATCH($B34,tblMatières[Matière],0))</f>
        <v>4738.9629999999997</v>
      </c>
      <c r="G34" s="209">
        <f t="shared" si="16"/>
        <v>4738.9629999999997</v>
      </c>
      <c r="H34" s="216">
        <f t="shared" si="17"/>
        <v>3250.5824705437199</v>
      </c>
      <c r="I34" s="223">
        <f>INDEX(tblMatières[Coût net ACA],MATCH($B34,tblMatières[Matière],0))</f>
        <v>381.9396647890232</v>
      </c>
      <c r="J34" s="326">
        <f t="shared" si="18"/>
        <v>1241526.3791685433</v>
      </c>
      <c r="K34" s="81">
        <f t="shared" si="19"/>
        <v>2.0522637962270079E-2</v>
      </c>
      <c r="L34" s="335">
        <f t="shared" si="20"/>
        <v>463204.71590538742</v>
      </c>
    </row>
    <row r="35" spans="1:12">
      <c r="A35" s="38"/>
      <c r="B35" s="37" t="str">
        <f>INDEX(ListeMatières,22)</f>
        <v>Contenants de PET</v>
      </c>
      <c r="C35" s="58">
        <f>INDEX(tblMatières[Quantité générée (tonnes)],MATCH($B35,tblMatières[Matière],0))</f>
        <v>7338.1760000000004</v>
      </c>
      <c r="D35" s="26">
        <f>INDEX(tblMatières[Quantité récupérée (tonnes)],MATCH($B35,tblMatières[Matière],0))</f>
        <v>3577.9912878235536</v>
      </c>
      <c r="E35" s="26">
        <f t="shared" si="15"/>
        <v>3760.1847121764467</v>
      </c>
      <c r="F35" s="48">
        <f>INDEX(tblMatières[Quantité déclarée (tonnes)],MATCH($B35,tblMatières[Matière],0))</f>
        <v>7338.1760000000004</v>
      </c>
      <c r="G35" s="209">
        <f t="shared" si="16"/>
        <v>7338.1760000000004</v>
      </c>
      <c r="H35" s="216">
        <f t="shared" si="17"/>
        <v>3760.1847121764467</v>
      </c>
      <c r="I35" s="223">
        <f>INDEX(tblMatières[Coût net ACA],MATCH($B35,tblMatières[Matière],0))</f>
        <v>326.37</v>
      </c>
      <c r="J35" s="326">
        <f t="shared" si="18"/>
        <v>1227211.4845130269</v>
      </c>
      <c r="K35" s="81">
        <f t="shared" si="19"/>
        <v>2.0286010367872975E-2</v>
      </c>
      <c r="L35" s="335">
        <f t="shared" si="20"/>
        <v>457863.92989924178</v>
      </c>
    </row>
    <row r="36" spans="1:12">
      <c r="A36" s="38"/>
      <c r="B36" s="37" t="str">
        <f>INDEX(ListeMatières,23)</f>
        <v>Acide polylactique (PLA) et autres plastiques dégradables</v>
      </c>
      <c r="C36" s="58">
        <f>INDEX(tblMatières[Quantité générée (tonnes)],MATCH($B36,tblMatières[Matière],0))</f>
        <v>82.570999999999998</v>
      </c>
      <c r="D36" s="26">
        <f>INDEX(tblMatières[Quantité récupérée (tonnes)],MATCH($B36,tblMatières[Matière],0))</f>
        <v>16.990421072658968</v>
      </c>
      <c r="E36" s="26">
        <f t="shared" si="15"/>
        <v>65.580578927341037</v>
      </c>
      <c r="F36" s="48">
        <f>INDEX(tblMatières[Quantité déclarée (tonnes)],MATCH($B36,tblMatières[Matière],0))</f>
        <v>82.570999999999998</v>
      </c>
      <c r="G36" s="209">
        <f t="shared" si="16"/>
        <v>82.570999999999998</v>
      </c>
      <c r="H36" s="216">
        <f t="shared" si="17"/>
        <v>65.580578927341037</v>
      </c>
      <c r="I36" s="223">
        <f>INDEX(tblMatières[Coût net ACA],MATCH($B36,tblMatières[Matière],0))</f>
        <v>230.50678013679595</v>
      </c>
      <c r="J36" s="326">
        <f t="shared" si="18"/>
        <v>15116.768088048395</v>
      </c>
      <c r="K36" s="81">
        <f t="shared" si="19"/>
        <v>2.4988269587826359E-4</v>
      </c>
      <c r="L36" s="335">
        <f t="shared" si="20"/>
        <v>5639.9593155011862</v>
      </c>
    </row>
    <row r="37" spans="1:12">
      <c r="A37" s="38"/>
      <c r="B37" s="37" t="str">
        <f>INDEX(ListeMatières,24)</f>
        <v>Autres plastiques, polymères et polyuréthanne</v>
      </c>
      <c r="C37" s="58">
        <f>INDEX(tblMatières[Quantité générée (tonnes)],MATCH($B37,tblMatières[Matière],0))</f>
        <v>33170.372000000003</v>
      </c>
      <c r="D37" s="26">
        <f>INDEX(tblMatières[Quantité récupérée (tonnes)],MATCH($B37,tblMatières[Matière],0))</f>
        <v>12075.576019317883</v>
      </c>
      <c r="E37" s="26">
        <f t="shared" si="15"/>
        <v>21094.79598068212</v>
      </c>
      <c r="F37" s="48">
        <f>INDEX(tblMatières[Quantité déclarée (tonnes)],MATCH($B37,tblMatières[Matière],0))</f>
        <v>33170.372000000003</v>
      </c>
      <c r="G37" s="210">
        <f t="shared" si="16"/>
        <v>33170.372000000003</v>
      </c>
      <c r="H37" s="216">
        <f t="shared" si="17"/>
        <v>21094.79598068212</v>
      </c>
      <c r="I37" s="223">
        <f>INDEX(tblMatières[Coût net ACA],MATCH($B37,tblMatières[Matière],0))</f>
        <v>268.57000000000005</v>
      </c>
      <c r="J37" s="326">
        <f t="shared" si="18"/>
        <v>5665429.3565317979</v>
      </c>
      <c r="K37" s="81">
        <f t="shared" si="19"/>
        <v>9.3650491472267505E-2</v>
      </c>
      <c r="L37" s="335">
        <f t="shared" si="20"/>
        <v>2113731.6448578639</v>
      </c>
    </row>
    <row r="38" spans="1:12">
      <c r="A38" s="43" t="str">
        <f>'Sommaire exécutif'!A37</f>
        <v>Plastique TOTAL</v>
      </c>
      <c r="B38" s="51"/>
      <c r="C38" s="61">
        <f>SUBTOTAL(9,C27:C37)</f>
        <v>134396.49200000003</v>
      </c>
      <c r="D38" s="24">
        <f t="shared" ref="D38:H38" si="21">SUBTOTAL(9,D27:D37)</f>
        <v>49678.553622219813</v>
      </c>
      <c r="E38" s="24">
        <f t="shared" si="21"/>
        <v>84717.938377780185</v>
      </c>
      <c r="F38" s="30">
        <f t="shared" si="21"/>
        <v>134396.49200000003</v>
      </c>
      <c r="G38" s="60">
        <f t="shared" si="21"/>
        <v>134396.49200000003</v>
      </c>
      <c r="H38" s="22">
        <f t="shared" si="21"/>
        <v>84717.938377780185</v>
      </c>
      <c r="I38" s="226"/>
      <c r="J38" s="331">
        <f t="shared" ref="J38:L38" si="22">SUBTOTAL(9,J27:J37)</f>
        <v>42504229.701689042</v>
      </c>
      <c r="K38" s="89">
        <f t="shared" si="22"/>
        <v>0.70260200078641422</v>
      </c>
      <c r="L38" s="331">
        <f t="shared" si="22"/>
        <v>15858027.645722248</v>
      </c>
    </row>
    <row r="39" spans="1:12">
      <c r="A39" s="46" t="str">
        <f>'Sommaire exécutif'!A38</f>
        <v>Aluminium</v>
      </c>
      <c r="B39" s="37" t="str">
        <f>INDEX(ListeMatières,25)</f>
        <v>Contenants pour aliments et breuvages en aluminium</v>
      </c>
      <c r="C39" s="58">
        <f>INDEX(tblMatières[Quantité générée (tonnes)],MATCH($B39,tblMatières[Matière],0))</f>
        <v>2927.57</v>
      </c>
      <c r="D39" s="26">
        <f>INDEX(tblMatières[Quantité récupérée (tonnes)],MATCH($B39,tblMatières[Matière],0))</f>
        <v>1291.1594981629264</v>
      </c>
      <c r="E39" s="26">
        <f>C39-D39</f>
        <v>1636.4105018370738</v>
      </c>
      <c r="F39" s="48">
        <f>INDEX(tblMatières[Quantité déclarée (tonnes)],MATCH($B39,tblMatières[Matière],0))</f>
        <v>2927.57</v>
      </c>
      <c r="G39" s="209">
        <f t="shared" si="16"/>
        <v>2927.57</v>
      </c>
      <c r="H39" s="216">
        <f t="shared" si="17"/>
        <v>1636.4105018370738</v>
      </c>
      <c r="I39" s="223">
        <f>INDEX(tblMatières[Coût net ACA],MATCH($B39,tblMatières[Matière],0))</f>
        <v>-207.05385563368731</v>
      </c>
      <c r="J39" s="326">
        <f>MAX(0,I39*H39)</f>
        <v>0</v>
      </c>
      <c r="K39" s="77">
        <f>$J39/$J$48</f>
        <v>0</v>
      </c>
      <c r="L39" s="326">
        <f>K39*$L$54</f>
        <v>0</v>
      </c>
    </row>
    <row r="40" spans="1:12">
      <c r="A40" s="46"/>
      <c r="B40" s="37" t="str">
        <f>INDEX(ListeMatières,26)</f>
        <v>Autres contenants et emballages en aluminium</v>
      </c>
      <c r="C40" s="58">
        <f>INDEX(tblMatières[Quantité générée (tonnes)],MATCH($B40,tblMatières[Matière],0))</f>
        <v>2080.3110000000001</v>
      </c>
      <c r="D40" s="26">
        <f>INDEX(tblMatières[Quantité récupérée (tonnes)],MATCH($B40,tblMatières[Matière],0))</f>
        <v>222.33232413320127</v>
      </c>
      <c r="E40" s="26">
        <f>C40-D40</f>
        <v>1857.9786758667988</v>
      </c>
      <c r="F40" s="48">
        <f>INDEX(tblMatières[Quantité déclarée (tonnes)],MATCH($B40,tblMatières[Matière],0))</f>
        <v>2080.3110000000001</v>
      </c>
      <c r="G40" s="209">
        <f t="shared" si="16"/>
        <v>2080.3110000000001</v>
      </c>
      <c r="H40" s="216">
        <f t="shared" si="17"/>
        <v>1857.9786758667988</v>
      </c>
      <c r="I40" s="223">
        <f>INDEX(tblMatières[Coût net ACA],MATCH($B40,tblMatières[Matière],0))</f>
        <v>-62.330729315310123</v>
      </c>
      <c r="J40" s="326">
        <f>MAX(0,I40*H40)</f>
        <v>0</v>
      </c>
      <c r="K40" s="77">
        <f>$J40/$J$48</f>
        <v>0</v>
      </c>
      <c r="L40" s="326">
        <f>K40*$L$54</f>
        <v>0</v>
      </c>
    </row>
    <row r="41" spans="1:12">
      <c r="A41" s="43" t="str">
        <f>'Sommaire exécutif'!A40</f>
        <v>Aluminium TOTAL</v>
      </c>
      <c r="B41" s="51"/>
      <c r="C41" s="60">
        <f>SUBTOTAL(9,C39:C40)</f>
        <v>5007.8810000000003</v>
      </c>
      <c r="D41" s="22">
        <f t="shared" ref="D41:H41" si="23">SUBTOTAL(9,D39:D40)</f>
        <v>1513.4918222961278</v>
      </c>
      <c r="E41" s="22">
        <f t="shared" si="23"/>
        <v>3494.3891777038725</v>
      </c>
      <c r="F41" s="29">
        <f t="shared" si="23"/>
        <v>5007.8810000000003</v>
      </c>
      <c r="G41" s="60">
        <f t="shared" si="23"/>
        <v>5007.8810000000003</v>
      </c>
      <c r="H41" s="22">
        <f t="shared" si="23"/>
        <v>3494.3891777038725</v>
      </c>
      <c r="I41" s="226"/>
      <c r="J41" s="331">
        <f t="shared" ref="J41:L41" si="24">SUBTOTAL(9,J39:J40)</f>
        <v>0</v>
      </c>
      <c r="K41" s="89">
        <f t="shared" si="24"/>
        <v>0</v>
      </c>
      <c r="L41" s="331">
        <f t="shared" si="24"/>
        <v>0</v>
      </c>
    </row>
    <row r="42" spans="1:12">
      <c r="A42" s="46" t="str">
        <f>'Sommaire exécutif'!A41</f>
        <v>Acier</v>
      </c>
      <c r="B42" s="37" t="str">
        <f>INDEX(ListeMatières,27)</f>
        <v>Bombes aérosol en acier</v>
      </c>
      <c r="C42" s="58">
        <f>INDEX(tblMatières[Quantité générée (tonnes)],MATCH($B42,tblMatières[Matière],0))</f>
        <v>1674.335</v>
      </c>
      <c r="D42" s="26">
        <f>INDEX(tblMatières[Quantité récupérée (tonnes)],MATCH($B42,tblMatières[Matière],0))</f>
        <v>310.15292443013641</v>
      </c>
      <c r="E42" s="26">
        <f>C42-D42</f>
        <v>1364.1820755698636</v>
      </c>
      <c r="F42" s="48">
        <f>INDEX(tblMatières[Quantité déclarée (tonnes)],MATCH($B42,tblMatières[Matière],0))</f>
        <v>1674.335</v>
      </c>
      <c r="G42" s="208">
        <f t="shared" si="16"/>
        <v>1674.335</v>
      </c>
      <c r="H42" s="216">
        <f t="shared" si="17"/>
        <v>1364.1820755698636</v>
      </c>
      <c r="I42" s="223">
        <f>INDEX(tblMatières[Coût net ACA],MATCH($B42,tblMatières[Matière],0))</f>
        <v>-199.35473578776555</v>
      </c>
      <c r="J42" s="326">
        <f>MAX(0,I42*H42)</f>
        <v>0</v>
      </c>
      <c r="K42" s="77">
        <f>$J42/$J$48</f>
        <v>0</v>
      </c>
      <c r="L42" s="326">
        <f>K42*$L$54</f>
        <v>0</v>
      </c>
    </row>
    <row r="43" spans="1:12">
      <c r="A43" s="46"/>
      <c r="B43" s="37" t="str">
        <f>INDEX(ListeMatières,28)</f>
        <v>Autres contenants en acier</v>
      </c>
      <c r="C43" s="58">
        <f>INDEX(tblMatières[Quantité générée (tonnes)],MATCH($B43,tblMatières[Matière],0))</f>
        <v>26835.954000000002</v>
      </c>
      <c r="D43" s="26">
        <f>INDEX(tblMatières[Quantité récupérée (tonnes)],MATCH($B43,tblMatières[Matière],0))</f>
        <v>15021.2491713906</v>
      </c>
      <c r="E43" s="26">
        <f>C43-D43</f>
        <v>11814.704828609401</v>
      </c>
      <c r="F43" s="48">
        <f>INDEX(tblMatières[Quantité déclarée (tonnes)],MATCH($B43,tblMatières[Matière],0))</f>
        <v>26835.954000000002</v>
      </c>
      <c r="G43" s="209">
        <f t="shared" si="16"/>
        <v>26835.954000000002</v>
      </c>
      <c r="H43" s="216">
        <f t="shared" si="17"/>
        <v>11814.704828609401</v>
      </c>
      <c r="I43" s="223">
        <f>INDEX(tblMatières[Coût net ACA],MATCH($B43,tblMatières[Matière],0))</f>
        <v>57.806525548425725</v>
      </c>
      <c r="J43" s="326">
        <f>MAX(0,I43*H43)</f>
        <v>682967.03652211814</v>
      </c>
      <c r="K43" s="77">
        <f>$J43/$J$48</f>
        <v>1.1289558938002346E-2</v>
      </c>
      <c r="L43" s="326">
        <f>K43*$L$54</f>
        <v>254810.1735356084</v>
      </c>
    </row>
    <row r="44" spans="1:12">
      <c r="A44" s="43" t="str">
        <f>'Sommaire exécutif'!A43</f>
        <v>Acier TOTAL</v>
      </c>
      <c r="B44" s="51"/>
      <c r="C44" s="60">
        <f t="shared" ref="C44:F44" si="25">SUBTOTAL(9,C42:C43)</f>
        <v>28510.289000000001</v>
      </c>
      <c r="D44" s="22">
        <f t="shared" si="25"/>
        <v>15331.402095820737</v>
      </c>
      <c r="E44" s="22">
        <f t="shared" si="25"/>
        <v>13178.886904179264</v>
      </c>
      <c r="F44" s="29">
        <f t="shared" si="25"/>
        <v>28510.289000000001</v>
      </c>
      <c r="G44" s="60">
        <f t="shared" ref="G44" si="26">SUBTOTAL(9,G42:G43)</f>
        <v>28510.289000000001</v>
      </c>
      <c r="H44" s="22">
        <f t="shared" ref="H44" si="27">SUBTOTAL(9,H42:H43)</f>
        <v>13178.886904179264</v>
      </c>
      <c r="I44" s="226"/>
      <c r="J44" s="331">
        <f t="shared" ref="J44" si="28">SUBTOTAL(9,J42:J43)</f>
        <v>682967.03652211814</v>
      </c>
      <c r="K44" s="89">
        <f t="shared" ref="K44" si="29">SUBTOTAL(9,K42:K43)</f>
        <v>1.1289558938002346E-2</v>
      </c>
      <c r="L44" s="331">
        <f t="shared" ref="L44" si="30">SUBTOTAL(9,L42:L43)</f>
        <v>254810.1735356084</v>
      </c>
    </row>
    <row r="45" spans="1:12">
      <c r="A45" s="46" t="str">
        <f>'Sommaire exécutif'!A44</f>
        <v>Verre</v>
      </c>
      <c r="B45" s="37" t="str">
        <f>INDEX(ListeMatières,29)</f>
        <v>Verre clair</v>
      </c>
      <c r="C45" s="58">
        <f>INDEX(tblMatières[Quantité générée (tonnes)],MATCH($B45,tblMatières[Matière],0))</f>
        <v>52387.877</v>
      </c>
      <c r="D45" s="26">
        <f>INDEX(tblMatières[Quantité récupérée (tonnes)],MATCH($B45,tblMatières[Matière],0))</f>
        <v>40467.652103728469</v>
      </c>
      <c r="E45" s="26">
        <f>C45-D45</f>
        <v>11920.224896271531</v>
      </c>
      <c r="F45" s="48">
        <f>INDEX(tblMatières[Quantité déclarée (tonnes)],MATCH($B45,tblMatières[Matière],0))</f>
        <v>52387.877</v>
      </c>
      <c r="G45" s="208">
        <f>ObjectifRecup*C45</f>
        <v>52387.877</v>
      </c>
      <c r="H45" s="216">
        <f>G45-D45</f>
        <v>11920.224896271531</v>
      </c>
      <c r="I45" s="223">
        <f>INDEX(tblMatières[Coût net ACA],MATCH($B45,tblMatières[Matière],0))</f>
        <v>179.42087901446925</v>
      </c>
      <c r="J45" s="326">
        <f>MAX(0,I45*H45)</f>
        <v>2138737.2289391989</v>
      </c>
      <c r="K45" s="77">
        <f>$J45/$J$48</f>
        <v>3.5353682839460061E-2</v>
      </c>
      <c r="L45" s="326">
        <f>K45*$L$54</f>
        <v>797947.74170687865</v>
      </c>
    </row>
    <row r="46" spans="1:12">
      <c r="A46" s="46"/>
      <c r="B46" s="242" t="str">
        <f>INDEX(ListeMatières,30)</f>
        <v>Verre coloré</v>
      </c>
      <c r="C46" s="58">
        <f>INDEX(tblMatières[Quantité générée (tonnes)],MATCH($B46,tblMatières[Matière],0))</f>
        <v>80574.570000000007</v>
      </c>
      <c r="D46" s="26">
        <f>INDEX(tblMatières[Quantité récupérée (tonnes)],MATCH($B46,tblMatières[Matière],0))</f>
        <v>62240.805581175147</v>
      </c>
      <c r="E46" s="26">
        <f>C46-D46</f>
        <v>18333.76441882486</v>
      </c>
      <c r="F46" s="48">
        <f>INDEX(tblMatières[Quantité déclarée (tonnes)],MATCH($B46,tblMatières[Matière],0))</f>
        <v>80574.570000000007</v>
      </c>
      <c r="G46" s="210">
        <f>ObjectifRecup*C46</f>
        <v>80574.570000000007</v>
      </c>
      <c r="H46" s="216">
        <f>G46-D46</f>
        <v>18333.76441882486</v>
      </c>
      <c r="I46" s="223">
        <f>INDEX(tblMatières[Coût net ACA],MATCH($B46,tblMatières[Matière],0))</f>
        <v>180.45839822769358</v>
      </c>
      <c r="J46" s="326">
        <f>MAX(0,I46*H46)</f>
        <v>3308481.7605050155</v>
      </c>
      <c r="K46" s="77">
        <f>$J46/$J$48</f>
        <v>5.4689754897588677E-2</v>
      </c>
      <c r="L46" s="326">
        <f>K46*$L$54</f>
        <v>1234371.1576867243</v>
      </c>
    </row>
    <row r="47" spans="1:12">
      <c r="A47" s="43" t="str">
        <f>'Sommaire exécutif'!A46</f>
        <v>Verre TOTAL</v>
      </c>
      <c r="B47" s="51"/>
      <c r="C47" s="60">
        <f t="shared" ref="C47" si="31">SUBTOTAL(9,C45:C46)</f>
        <v>132962.44700000001</v>
      </c>
      <c r="D47" s="22">
        <f t="shared" ref="D47" si="32">SUBTOTAL(9,D45:D46)</f>
        <v>102708.45768490361</v>
      </c>
      <c r="E47" s="22">
        <f t="shared" ref="E47" si="33">SUBTOTAL(9,E45:E46)</f>
        <v>30253.989315096391</v>
      </c>
      <c r="F47" s="29">
        <f t="shared" ref="F47" si="34">SUBTOTAL(9,F45:F46)</f>
        <v>132962.44700000001</v>
      </c>
      <c r="G47" s="60">
        <f t="shared" ref="G47" si="35">SUBTOTAL(9,G45:G46)</f>
        <v>132962.44700000001</v>
      </c>
      <c r="H47" s="22">
        <f t="shared" ref="H47" si="36">SUBTOTAL(9,H45:H46)</f>
        <v>30253.989315096391</v>
      </c>
      <c r="I47" s="226"/>
      <c r="J47" s="331">
        <f t="shared" ref="J47" si="37">SUBTOTAL(9,J45:J46)</f>
        <v>5447218.9894442149</v>
      </c>
      <c r="K47" s="89">
        <f t="shared" ref="K47" si="38">SUBTOTAL(9,K45:K46)</f>
        <v>9.0043437737048732E-2</v>
      </c>
      <c r="L47" s="331">
        <f t="shared" ref="L47" si="39">SUBTOTAL(9,L45:L46)</f>
        <v>2032318.899393603</v>
      </c>
    </row>
    <row r="48" spans="1:12" ht="15" thickBot="1">
      <c r="A48" s="56" t="str">
        <f>'Sommaire exécutif'!A47</f>
        <v>CONTENANTS ET EMBALLAGES TOTAL</v>
      </c>
      <c r="B48" s="52"/>
      <c r="C48" s="147">
        <f>SUBTOTAL(9,C19:C47)</f>
        <v>479048.94300000003</v>
      </c>
      <c r="D48" s="27">
        <f t="shared" ref="D48:H48" si="40">SUBTOTAL(9,D19:D47)</f>
        <v>274825.51177788019</v>
      </c>
      <c r="E48" s="27">
        <f t="shared" si="40"/>
        <v>204223.43122211983</v>
      </c>
      <c r="F48" s="148">
        <f t="shared" si="40"/>
        <v>479048.94300000003</v>
      </c>
      <c r="G48" s="59">
        <f t="shared" si="40"/>
        <v>479048.94300000003</v>
      </c>
      <c r="H48" s="21">
        <f t="shared" si="40"/>
        <v>204223.43122211983</v>
      </c>
      <c r="I48" s="225"/>
      <c r="J48" s="328">
        <f t="shared" ref="J48:L48" si="41">SUBTOTAL(9,J19:J47)</f>
        <v>60495457.818387292</v>
      </c>
      <c r="K48" s="91">
        <f t="shared" si="41"/>
        <v>0.99999999999999967</v>
      </c>
      <c r="L48" s="328">
        <f t="shared" si="41"/>
        <v>22570427.678789042</v>
      </c>
    </row>
    <row r="49" spans="1:12">
      <c r="A49" s="38"/>
      <c r="B49" s="39"/>
      <c r="C49" s="38"/>
      <c r="D49" s="35"/>
      <c r="E49" s="35"/>
      <c r="F49" s="39"/>
      <c r="G49" s="213"/>
      <c r="H49" s="187"/>
      <c r="I49" s="227"/>
      <c r="J49" s="332"/>
      <c r="K49" s="65"/>
      <c r="L49" s="332"/>
    </row>
    <row r="50" spans="1:12" ht="15" thickBot="1">
      <c r="A50" s="57" t="str">
        <f>'Sommaire exécutif'!A49</f>
        <v>TOTAL</v>
      </c>
      <c r="B50" s="53"/>
      <c r="C50" s="62">
        <f>SUBTOTAL(9,C10:C48)</f>
        <v>637067.77300000004</v>
      </c>
      <c r="D50" s="25">
        <f t="shared" ref="D50:H50" si="42">SUBTOTAL(9,D10:D48)</f>
        <v>400693.19399743015</v>
      </c>
      <c r="E50" s="25">
        <f t="shared" si="42"/>
        <v>236374.5790025699</v>
      </c>
      <c r="F50" s="31">
        <f t="shared" si="42"/>
        <v>637067.77300000004</v>
      </c>
      <c r="G50" s="214">
        <f t="shared" si="42"/>
        <v>637067.77300000004</v>
      </c>
      <c r="H50" s="220">
        <f t="shared" si="42"/>
        <v>236374.5790025699</v>
      </c>
      <c r="I50" s="228"/>
      <c r="J50" s="333">
        <f>SUBTOTAL(9,J10:J48)</f>
        <v>63666911.965522774</v>
      </c>
      <c r="K50" s="86"/>
      <c r="L50" s="333">
        <f>SUBTOTAL(9,L10:L48)</f>
        <v>28660362.268058967</v>
      </c>
    </row>
    <row r="51" spans="1:12" ht="15" thickTop="1">
      <c r="A51" s="38"/>
      <c r="B51" s="35"/>
      <c r="G51" s="37"/>
      <c r="H51" s="37"/>
      <c r="I51" s="134"/>
      <c r="J51" s="134"/>
      <c r="K51" s="37"/>
      <c r="L51" s="336"/>
    </row>
    <row r="52" spans="1:12">
      <c r="A52" s="42" t="str">
        <f>'Facteur 1'!$A$52</f>
        <v>Allocation des coûts du facteur par catégorie</v>
      </c>
      <c r="B52" s="97"/>
      <c r="C52" s="96"/>
      <c r="D52" s="96"/>
      <c r="E52" s="96"/>
      <c r="F52" s="96"/>
      <c r="G52" s="96"/>
      <c r="H52" s="96"/>
      <c r="I52" s="135"/>
      <c r="J52" s="135"/>
      <c r="K52" s="96"/>
      <c r="L52" s="337"/>
    </row>
    <row r="53" spans="1:12">
      <c r="A53" s="100" t="str">
        <f>'Facteur 1'!$A$53</f>
        <v>Imprimés</v>
      </c>
      <c r="B53" s="98"/>
      <c r="C53" s="95"/>
      <c r="D53" s="95"/>
      <c r="E53" s="95"/>
      <c r="F53" s="95"/>
      <c r="G53" s="95"/>
      <c r="H53" s="95"/>
      <c r="I53" s="136"/>
      <c r="J53" s="136"/>
      <c r="K53" s="95"/>
      <c r="L53" s="338">
        <f>'Coûts nets'!$G48*$G$8</f>
        <v>6089934.589269924</v>
      </c>
    </row>
    <row r="54" spans="1:12">
      <c r="A54" s="101" t="str">
        <f>'Facteur 1'!$A$54</f>
        <v>Contenants et emballages</v>
      </c>
      <c r="B54" s="49"/>
      <c r="C54" s="54"/>
      <c r="D54" s="54"/>
      <c r="E54" s="54"/>
      <c r="F54" s="54"/>
      <c r="G54" s="54"/>
      <c r="H54" s="54"/>
      <c r="I54" s="137"/>
      <c r="J54" s="137"/>
      <c r="K54" s="54"/>
      <c r="L54" s="339">
        <f>'Coûts nets'!$G49*$G$8</f>
        <v>22570427.678789046</v>
      </c>
    </row>
  </sheetData>
  <sheetProtection password="82A0" sheet="1" objects="1" scenario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7 I26 C45:I46 C27:L32 C39:L40 I38 C42:L43 I41 I44 I47" formula="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C10" sqref="C10"/>
    </sheetView>
  </sheetViews>
  <sheetFormatPr baseColWidth="10" defaultColWidth="13.44140625" defaultRowHeight="14.4"/>
  <cols>
    <col min="1" max="1" width="26.5546875" customWidth="1"/>
    <col min="2" max="2" width="74.6640625" customWidth="1"/>
    <col min="3" max="3" width="16.5546875" bestFit="1" customWidth="1"/>
    <col min="4" max="4" width="19" customWidth="1"/>
    <col min="5" max="5" width="17.44140625" customWidth="1"/>
    <col min="6" max="6" width="17.44140625" bestFit="1" customWidth="1"/>
    <col min="7" max="7" width="22" bestFit="1" customWidth="1"/>
  </cols>
  <sheetData>
    <row r="1" spans="1:9" s="159" customFormat="1" ht="15" thickBot="1">
      <c r="A1" s="4" t="s">
        <v>115</v>
      </c>
      <c r="B1" s="36"/>
    </row>
    <row r="2" spans="1:9" ht="6.75" customHeight="1" thickBot="1"/>
    <row r="3" spans="1:9" ht="18" thickBot="1">
      <c r="A3" s="93" t="str">
        <f>Paramètres!B4</f>
        <v>Tarif</v>
      </c>
      <c r="B3" s="245">
        <f>AnnéeTarif</f>
        <v>2016</v>
      </c>
    </row>
    <row r="4" spans="1:9" ht="18" thickBot="1">
      <c r="A4" s="93" t="str">
        <f>Paramètres!B5</f>
        <v>Scénario</v>
      </c>
      <c r="B4" s="245" t="str">
        <f>Paramètres!C5</f>
        <v>Publication Juillet 2016</v>
      </c>
    </row>
    <row r="5" spans="1:9" ht="18" thickBot="1">
      <c r="A5" s="93" t="str">
        <f>Paramètres!B6</f>
        <v>Année de référence</v>
      </c>
      <c r="B5" s="94">
        <f>AnnéeRéf</f>
        <v>2015</v>
      </c>
    </row>
    <row r="6" spans="1:9" ht="15" customHeight="1" thickBot="1">
      <c r="C6" s="657" t="s">
        <v>115</v>
      </c>
      <c r="D6" s="658"/>
      <c r="E6" s="658"/>
      <c r="F6" s="658"/>
      <c r="G6" s="658"/>
    </row>
    <row r="7" spans="1:9" ht="41.4">
      <c r="A7" s="42" t="str">
        <f>'Sommaire exécutif'!A7</f>
        <v>CATÉGORIE</v>
      </c>
      <c r="B7" s="9" t="str">
        <f>'Sommaire exécutif'!B7</f>
        <v>Matière</v>
      </c>
      <c r="C7" s="256" t="s">
        <v>91</v>
      </c>
      <c r="D7" s="255" t="s">
        <v>180</v>
      </c>
      <c r="E7" s="255" t="s">
        <v>181</v>
      </c>
      <c r="F7" s="255" t="s">
        <v>113</v>
      </c>
      <c r="G7" s="255" t="s">
        <v>114</v>
      </c>
    </row>
    <row r="8" spans="1:9">
      <c r="A8" s="70"/>
      <c r="B8" s="72"/>
      <c r="C8" s="70"/>
      <c r="D8" s="71"/>
      <c r="E8" s="71"/>
      <c r="F8" s="71"/>
      <c r="G8" s="71"/>
    </row>
    <row r="9" spans="1:9">
      <c r="A9" s="43" t="str">
        <f>'Sommaire exécutif'!A8</f>
        <v>IMPRIMÉS</v>
      </c>
      <c r="B9" s="11"/>
      <c r="C9" s="110"/>
      <c r="D9" s="111"/>
      <c r="E9" s="11"/>
      <c r="F9" s="111"/>
      <c r="G9" s="111"/>
    </row>
    <row r="10" spans="1:9">
      <c r="A10" s="38"/>
      <c r="B10" s="37" t="str">
        <f>INDEX(ListeMatières,1)</f>
        <v>Encarts et circulaires imprimés sur du papier journal</v>
      </c>
      <c r="C10" s="106">
        <f>INDEX(tblMatières[Frais d''étude],MATCH($B10,tblMatières[Matière],0))</f>
        <v>0</v>
      </c>
      <c r="D10" s="48">
        <f>INDEX(tblMatières[Quantité déclarée (tonnes)],MATCH($B10,tblMatières[Matière],0))</f>
        <v>97857.077999999994</v>
      </c>
      <c r="E10" s="144">
        <f>INDEX(tblMatières[Nombre déclarations],MATCH($B10,tblMatières[Matière],0))</f>
        <v>129</v>
      </c>
      <c r="F10" s="303">
        <f t="shared" ref="F10:F15" si="0">D10/$D$16 * $E$16/$E$50 * FraisGestionImputés</f>
        <v>835740.63580887776</v>
      </c>
      <c r="G10" s="636">
        <f t="shared" ref="G10:G15" si="1">C10+F10</f>
        <v>835740.63580887776</v>
      </c>
      <c r="I10" s="461"/>
    </row>
    <row r="11" spans="1:9">
      <c r="A11" s="38"/>
      <c r="B11" s="37" t="str">
        <f>INDEX(ListeMatières,2)</f>
        <v>Catalogues et publications</v>
      </c>
      <c r="C11" s="106">
        <f>INDEX(tblMatières[Frais d''étude],MATCH($B11,tblMatières[Matière],0))</f>
        <v>0</v>
      </c>
      <c r="D11" s="48">
        <f>INDEX(tblMatières[Quantité déclarée (tonnes)],MATCH($B11,tblMatières[Matière],0))</f>
        <v>16849.689999999999</v>
      </c>
      <c r="E11" s="144">
        <f>INDEX(tblMatières[Nombre déclarations],MATCH($B11,tblMatières[Matière],0))</f>
        <v>174</v>
      </c>
      <c r="F11" s="303">
        <f t="shared" si="0"/>
        <v>143903.44491772467</v>
      </c>
      <c r="G11" s="636">
        <f t="shared" si="1"/>
        <v>143903.44491772467</v>
      </c>
      <c r="I11" s="461"/>
    </row>
    <row r="12" spans="1:9">
      <c r="A12" s="38"/>
      <c r="B12" s="37" t="str">
        <f>INDEX(ListeMatières,3)</f>
        <v>Magazines</v>
      </c>
      <c r="C12" s="106">
        <f>INDEX(tblMatières[Frais d''étude],MATCH($B12,tblMatières[Matière],0))</f>
        <v>0</v>
      </c>
      <c r="D12" s="48">
        <f>INDEX(tblMatières[Quantité déclarée (tonnes)],MATCH($B12,tblMatières[Matière],0))</f>
        <v>10816.571</v>
      </c>
      <c r="E12" s="144">
        <f>INDEX(tblMatières[Nombre déclarations],MATCH($B12,tblMatières[Matière],0))</f>
        <v>47</v>
      </c>
      <c r="F12" s="303">
        <f t="shared" si="0"/>
        <v>92378.069216535048</v>
      </c>
      <c r="G12" s="636">
        <f t="shared" si="1"/>
        <v>92378.069216535048</v>
      </c>
      <c r="I12" s="461"/>
    </row>
    <row r="13" spans="1:9">
      <c r="A13" s="38"/>
      <c r="B13" s="37" t="str">
        <f>INDEX(ListeMatières,4)</f>
        <v>Annuaires téléphoniques</v>
      </c>
      <c r="C13" s="106">
        <f>INDEX(tblMatières[Frais d''étude],MATCH($B13,tblMatières[Matière],0))</f>
        <v>0</v>
      </c>
      <c r="D13" s="48">
        <f>INDEX(tblMatières[Quantité déclarée (tonnes)],MATCH($B13,tblMatières[Matière],0))</f>
        <v>1956.9110000000001</v>
      </c>
      <c r="E13" s="144">
        <f>INDEX(tblMatières[Nombre déclarations],MATCH($B13,tblMatières[Matière],0))</f>
        <v>2</v>
      </c>
      <c r="F13" s="303">
        <f t="shared" si="0"/>
        <v>16712.843636730981</v>
      </c>
      <c r="G13" s="636">
        <f t="shared" si="1"/>
        <v>16712.843636730981</v>
      </c>
      <c r="I13" s="461"/>
    </row>
    <row r="14" spans="1:9">
      <c r="A14" s="38"/>
      <c r="B14" s="37" t="str">
        <f>INDEX(ListeMatières,5)</f>
        <v>Papier à usage général</v>
      </c>
      <c r="C14" s="106">
        <f>INDEX(tblMatières[Frais d''étude],MATCH($B14,tblMatières[Matière],0))</f>
        <v>0</v>
      </c>
      <c r="D14" s="48">
        <f>INDEX(tblMatières[Quantité déclarée (tonnes)],MATCH($B14,tblMatières[Matière],0))</f>
        <v>4514.6930000000002</v>
      </c>
      <c r="E14" s="144">
        <f>INDEX(tblMatières[Nombre déclarations],MATCH($B14,tblMatières[Matière],0))</f>
        <v>107</v>
      </c>
      <c r="F14" s="303">
        <f t="shared" si="0"/>
        <v>38557.378530165086</v>
      </c>
      <c r="G14" s="636">
        <f t="shared" si="1"/>
        <v>38557.378530165086</v>
      </c>
      <c r="I14" s="461"/>
    </row>
    <row r="15" spans="1:9">
      <c r="A15" s="38"/>
      <c r="B15" s="37" t="str">
        <f>INDEX(ListeMatières,6)</f>
        <v>Autres imprimés</v>
      </c>
      <c r="C15" s="106">
        <f>INDEX(tblMatières[Frais d''étude],MATCH($B15,tblMatières[Matière],0))</f>
        <v>0</v>
      </c>
      <c r="D15" s="48">
        <f>INDEX(tblMatières[Quantité déclarée (tonnes)],MATCH($B15,tblMatières[Matière],0))</f>
        <v>26023.886999999999</v>
      </c>
      <c r="E15" s="144">
        <f>INDEX(tblMatières[Nombre déclarations],MATCH($B15,tblMatières[Matière],0))</f>
        <v>543</v>
      </c>
      <c r="F15" s="303">
        <f t="shared" si="0"/>
        <v>222254.94887143871</v>
      </c>
      <c r="G15" s="636">
        <f t="shared" si="1"/>
        <v>222254.94887143871</v>
      </c>
      <c r="I15" s="461"/>
    </row>
    <row r="16" spans="1:9" ht="15" thickBot="1">
      <c r="A16" s="55" t="str">
        <f>'Sommaire exécutif'!A15</f>
        <v>IMPRIMÉS TOTAL</v>
      </c>
      <c r="B16" s="20"/>
      <c r="C16" s="108">
        <f>SUBTOTAL(9,C10:C15)</f>
        <v>0</v>
      </c>
      <c r="D16" s="21">
        <f>SUBTOTAL(9,D10:D15)</f>
        <v>158018.82999999999</v>
      </c>
      <c r="E16" s="59">
        <f t="shared" ref="E16:G16" si="2">SUBTOTAL(9,E10:E15)</f>
        <v>1002</v>
      </c>
      <c r="F16" s="305">
        <f t="shared" si="2"/>
        <v>1349547.3209814723</v>
      </c>
      <c r="G16" s="305">
        <f t="shared" si="2"/>
        <v>1349547.3209814723</v>
      </c>
      <c r="I16" s="447"/>
    </row>
    <row r="17" spans="1:9">
      <c r="A17" s="38"/>
      <c r="B17" s="35"/>
      <c r="C17" s="106"/>
      <c r="D17" s="144"/>
      <c r="E17" s="37"/>
      <c r="F17" s="303"/>
      <c r="G17" s="303"/>
    </row>
    <row r="18" spans="1:9">
      <c r="A18" s="43" t="str">
        <f>'Sommaire exécutif'!A17</f>
        <v>CONTENANTS ET EMBALLAGES</v>
      </c>
      <c r="B18" s="11"/>
      <c r="C18" s="110"/>
      <c r="D18" s="219"/>
      <c r="E18" s="11"/>
      <c r="F18" s="310"/>
      <c r="G18" s="310"/>
    </row>
    <row r="19" spans="1:9">
      <c r="A19" s="46" t="str">
        <f>'Sommaire exécutif'!A18</f>
        <v>Papier et carton</v>
      </c>
      <c r="B19" s="37" t="str">
        <f>INDEX(ListeMatières,7)</f>
        <v>Carton ondulé</v>
      </c>
      <c r="C19" s="106">
        <f>INDEX(tblMatières[Frais d''étude],MATCH($B19,tblMatières[Matière],0))</f>
        <v>0</v>
      </c>
      <c r="D19" s="48">
        <f>INDEX(tblMatières[Quantité déclarée (tonnes)],MATCH($B19,tblMatières[Matière],0))</f>
        <v>56835.883000000002</v>
      </c>
      <c r="E19" s="144">
        <f>INDEX(tblMatières[Nombre déclarations],MATCH($B19,tblMatières[Matière],0))</f>
        <v>443</v>
      </c>
      <c r="F19" s="303">
        <f t="shared" ref="F19:F25" si="3">D19/D$26 * $E$26/$E$50 * FraisGestionImputés</f>
        <v>670666.8804517528</v>
      </c>
      <c r="G19" s="636">
        <f t="shared" ref="G19:G25" si="4">C19+F19</f>
        <v>670666.8804517528</v>
      </c>
      <c r="I19" s="447"/>
    </row>
    <row r="20" spans="1:9">
      <c r="A20" s="46"/>
      <c r="B20" s="37" t="str">
        <f>INDEX(ListeMatières,8)</f>
        <v>Sacs de papier kraft</v>
      </c>
      <c r="C20" s="106">
        <f>INDEX(tblMatières[Frais d''étude],MATCH($B20,tblMatières[Matière],0))</f>
        <v>0</v>
      </c>
      <c r="D20" s="48">
        <f>INDEX(tblMatières[Quantité déclarée (tonnes)],MATCH($B20,tblMatières[Matière],0))</f>
        <v>2779.5329999999999</v>
      </c>
      <c r="E20" s="144">
        <f>INDEX(tblMatières[Nombre déclarations],MATCH($B20,tblMatières[Matière],0))</f>
        <v>59</v>
      </c>
      <c r="F20" s="303">
        <f t="shared" si="3"/>
        <v>32798.658661161324</v>
      </c>
      <c r="G20" s="636">
        <f t="shared" si="4"/>
        <v>32798.658661161324</v>
      </c>
      <c r="I20" s="447"/>
    </row>
    <row r="21" spans="1:9">
      <c r="A21" s="46"/>
      <c r="B21" s="37" t="str">
        <f>INDEX(ListeMatières,9)</f>
        <v>Emballages de papier kraft</v>
      </c>
      <c r="C21" s="106">
        <f>INDEX(tblMatières[Frais d''étude],MATCH($B21,tblMatières[Matière],0))</f>
        <v>0</v>
      </c>
      <c r="D21" s="48">
        <f>INDEX(tblMatières[Quantité déclarée (tonnes)],MATCH($B21,tblMatières[Matière],0))</f>
        <v>311.67700000000002</v>
      </c>
      <c r="E21" s="144">
        <f>INDEX(tblMatières[Nombre déclarations],MATCH($B21,tblMatières[Matière],0))</f>
        <v>27</v>
      </c>
      <c r="F21" s="303">
        <f t="shared" si="3"/>
        <v>3677.8075797390352</v>
      </c>
      <c r="G21" s="636">
        <f t="shared" si="4"/>
        <v>3677.8075797390352</v>
      </c>
      <c r="I21" s="447"/>
    </row>
    <row r="22" spans="1:9">
      <c r="A22" s="46"/>
      <c r="B22" s="37" t="str">
        <f>INDEX(ListeMatières,10)</f>
        <v>Carton plat et autres emballages de papier</v>
      </c>
      <c r="C22" s="106">
        <f>INDEX(tblMatières[Frais d''étude],MATCH($B22,tblMatières[Matière],0))</f>
        <v>0</v>
      </c>
      <c r="D22" s="48">
        <f>INDEX(tblMatières[Quantité déclarée (tonnes)],MATCH($B22,tblMatières[Matière],0))</f>
        <v>87303.759000000005</v>
      </c>
      <c r="E22" s="144">
        <f>INDEX(tblMatières[Nombre déclarations],MATCH($B22,tblMatières[Matière],0))</f>
        <v>646</v>
      </c>
      <c r="F22" s="303">
        <f t="shared" si="3"/>
        <v>1030189.6726094963</v>
      </c>
      <c r="G22" s="636">
        <f t="shared" si="4"/>
        <v>1030189.6726094963</v>
      </c>
      <c r="I22" s="447"/>
    </row>
    <row r="23" spans="1:9">
      <c r="A23" s="46"/>
      <c r="B23" s="37" t="str">
        <f>INDEX(ListeMatières,11)</f>
        <v>Contenants à pignon</v>
      </c>
      <c r="C23" s="106">
        <f>INDEX(tblMatières[Frais d''étude],MATCH($B23,tblMatières[Matière],0))</f>
        <v>0</v>
      </c>
      <c r="D23" s="48">
        <f>INDEX(tblMatières[Quantité déclarée (tonnes)],MATCH($B23,tblMatières[Matière],0))</f>
        <v>12195.004999999999</v>
      </c>
      <c r="E23" s="144">
        <f>INDEX(tblMatières[Nombre déclarations],MATCH($B23,tblMatières[Matière],0))</f>
        <v>44</v>
      </c>
      <c r="F23" s="303">
        <f t="shared" si="3"/>
        <v>143901.80162140747</v>
      </c>
      <c r="G23" s="636">
        <f t="shared" si="4"/>
        <v>143901.80162140747</v>
      </c>
      <c r="I23" s="447"/>
    </row>
    <row r="24" spans="1:9">
      <c r="A24" s="46"/>
      <c r="B24" s="37" t="str">
        <f>INDEX(ListeMatières,12)</f>
        <v>Laminés de papier</v>
      </c>
      <c r="C24" s="106">
        <f>INDEX(tblMatières[Frais d''étude],MATCH($B24,tblMatières[Matière],0))</f>
        <v>0</v>
      </c>
      <c r="D24" s="48">
        <f>INDEX(tblMatières[Quantité déclarée (tonnes)],MATCH($B24,tblMatières[Matière],0))</f>
        <v>12539.928</v>
      </c>
      <c r="E24" s="144">
        <f>INDEX(tblMatières[Nombre déclarations],MATCH($B24,tblMatières[Matière],0))</f>
        <v>299</v>
      </c>
      <c r="F24" s="303">
        <f t="shared" si="3"/>
        <v>147971.91402567964</v>
      </c>
      <c r="G24" s="636">
        <f t="shared" si="4"/>
        <v>147971.91402567964</v>
      </c>
      <c r="I24" s="447"/>
    </row>
    <row r="25" spans="1:9">
      <c r="A25" s="46"/>
      <c r="B25" s="37" t="str">
        <f>INDEX(ListeMatières,13)</f>
        <v>Contenants aseptiques</v>
      </c>
      <c r="C25" s="106">
        <f>INDEX(tblMatières[Frais d''étude],MATCH($B25,tblMatières[Matière],0))</f>
        <v>0</v>
      </c>
      <c r="D25" s="48">
        <f>INDEX(tblMatières[Quantité déclarée (tonnes)],MATCH($B25,tblMatières[Matière],0))</f>
        <v>6206.049</v>
      </c>
      <c r="E25" s="144">
        <f>INDEX(tblMatières[Nombre déclarations],MATCH($B25,tblMatières[Matière],0))</f>
        <v>43</v>
      </c>
      <c r="F25" s="303">
        <f t="shared" si="3"/>
        <v>73231.756120701422</v>
      </c>
      <c r="G25" s="636">
        <f t="shared" si="4"/>
        <v>73231.756120701422</v>
      </c>
      <c r="I25" s="447"/>
    </row>
    <row r="26" spans="1:9">
      <c r="A26" s="43" t="str">
        <f>'Sommaire exécutif'!A25</f>
        <v>Papier et carton TOTAL</v>
      </c>
      <c r="B26" s="10"/>
      <c r="C26" s="112">
        <f>SUBTOTAL(9,C19:C25)</f>
        <v>0</v>
      </c>
      <c r="D26" s="22">
        <f t="shared" ref="D26:G26" si="5">SUBTOTAL(9,D19:D25)</f>
        <v>178171.83400000003</v>
      </c>
      <c r="E26" s="60">
        <f t="shared" si="5"/>
        <v>1561</v>
      </c>
      <c r="F26" s="306">
        <f t="shared" si="5"/>
        <v>2102438.4910699381</v>
      </c>
      <c r="G26" s="306">
        <f t="shared" si="5"/>
        <v>2102438.4910699381</v>
      </c>
      <c r="I26" s="447"/>
    </row>
    <row r="27" spans="1:9">
      <c r="A27" s="46" t="str">
        <f>'Sommaire exécutif'!A26</f>
        <v>Plastique</v>
      </c>
      <c r="B27" s="37" t="str">
        <f>INDEX(ListeMatières,14)</f>
        <v>Bouteilles PET</v>
      </c>
      <c r="C27" s="106">
        <f>INDEX(tblMatières[Frais d''étude],MATCH($B27,tblMatières[Matière],0))</f>
        <v>0</v>
      </c>
      <c r="D27" s="48">
        <f>INDEX(tblMatières[Quantité déclarée (tonnes)],MATCH($B27,tblMatières[Matière],0))</f>
        <v>23327.881000000001</v>
      </c>
      <c r="E27" s="144">
        <f>INDEX(tblMatières[Nombre déclarations],MATCH($B27,tblMatières[Matière],0))</f>
        <v>190</v>
      </c>
      <c r="F27" s="303">
        <f t="shared" ref="F27:F37" si="6">D27/D$38 * $E$38/$E$50 * FraisGestionImputés</f>
        <v>578839.81291234412</v>
      </c>
      <c r="G27" s="636">
        <f t="shared" ref="G27:G37" si="7">C27+F27</f>
        <v>578839.81291234412</v>
      </c>
      <c r="I27" s="447"/>
    </row>
    <row r="28" spans="1:9">
      <c r="A28" s="38"/>
      <c r="B28" s="37" t="str">
        <f>INDEX(ListeMatières,15)</f>
        <v>Bouteilles HDPE</v>
      </c>
      <c r="C28" s="106">
        <f>INDEX(tblMatières[Frais d''étude],MATCH($B28,tblMatières[Matière],0))</f>
        <v>0</v>
      </c>
      <c r="D28" s="48">
        <f>INDEX(tblMatières[Quantité déclarée (tonnes)],MATCH($B28,tblMatières[Matière],0))</f>
        <v>16585.286</v>
      </c>
      <c r="E28" s="144">
        <f>INDEX(tblMatières[Nombre déclarations],MATCH($B28,tblMatières[Matière],0))</f>
        <v>265</v>
      </c>
      <c r="F28" s="303">
        <f t="shared" si="6"/>
        <v>411534.32861466159</v>
      </c>
      <c r="G28" s="636">
        <f t="shared" si="7"/>
        <v>411534.32861466159</v>
      </c>
      <c r="I28" s="447"/>
    </row>
    <row r="29" spans="1:9">
      <c r="A29" s="38"/>
      <c r="B29" s="37" t="str">
        <f>INDEX(ListeMatières,16)</f>
        <v>Plastiques stratifiés</v>
      </c>
      <c r="C29" s="106">
        <f>INDEX(tblMatières[Frais d''étude],MATCH($B29,tblMatières[Matière],0))</f>
        <v>0</v>
      </c>
      <c r="D29" s="48">
        <f>INDEX(tblMatières[Quantité déclarée (tonnes)],MATCH($B29,tblMatières[Matière],0))</f>
        <v>12008.449000000001</v>
      </c>
      <c r="E29" s="144">
        <f>INDEX(tblMatières[Nombre déclarations],MATCH($B29,tblMatières[Matière],0))</f>
        <v>355</v>
      </c>
      <c r="F29" s="303">
        <f t="shared" si="6"/>
        <v>297968.27120849199</v>
      </c>
      <c r="G29" s="636">
        <f t="shared" si="7"/>
        <v>297968.27120849199</v>
      </c>
      <c r="I29" s="447"/>
    </row>
    <row r="30" spans="1:9">
      <c r="A30" s="38"/>
      <c r="B30" s="37" t="str">
        <f>INDEX(ListeMatières,17)</f>
        <v>Pellicules HDPE et LDPE</v>
      </c>
      <c r="C30" s="106">
        <f>INDEX(tblMatières[Frais d''étude],MATCH($B30,tblMatières[Matière],0))</f>
        <v>0</v>
      </c>
      <c r="D30" s="48">
        <f>INDEX(tblMatières[Quantité déclarée (tonnes)],MATCH($B30,tblMatières[Matière],0))</f>
        <v>21835.475999999999</v>
      </c>
      <c r="E30" s="144">
        <f>INDEX(tblMatières[Nombre déclarations],MATCH($B30,tblMatières[Matière],0))</f>
        <v>470</v>
      </c>
      <c r="F30" s="303">
        <f t="shared" si="6"/>
        <v>541808.44126785372</v>
      </c>
      <c r="G30" s="636">
        <f t="shared" si="7"/>
        <v>541808.44126785372</v>
      </c>
      <c r="I30" s="447"/>
    </row>
    <row r="31" spans="1:9">
      <c r="A31" s="38"/>
      <c r="B31" s="37" t="str">
        <f>INDEX(ListeMatières,18)</f>
        <v>Sacs d'emplettes de pellicules HDPE et LDPE</v>
      </c>
      <c r="C31" s="106">
        <f>INDEX(tblMatières[Frais d''étude],MATCH($B31,tblMatières[Matière],0))</f>
        <v>0</v>
      </c>
      <c r="D31" s="48">
        <f>INDEX(tblMatières[Quantité déclarée (tonnes)],MATCH($B31,tblMatières[Matière],0))</f>
        <v>9133.4940000000006</v>
      </c>
      <c r="E31" s="144">
        <f>INDEX(tblMatières[Nombre déclarations],MATCH($B31,tblMatières[Matière],0))</f>
        <v>181</v>
      </c>
      <c r="F31" s="303">
        <f t="shared" si="6"/>
        <v>226631.38405910155</v>
      </c>
      <c r="G31" s="636">
        <f t="shared" si="7"/>
        <v>226631.38405910155</v>
      </c>
      <c r="I31" s="447"/>
    </row>
    <row r="32" spans="1:9">
      <c r="A32" s="38"/>
      <c r="B32" s="37" t="str">
        <f>INDEX(ListeMatières,19)</f>
        <v>Polystyrène expansé alimentaire</v>
      </c>
      <c r="C32" s="106">
        <f>INDEX(tblMatières[Frais d''étude],MATCH($B32,tblMatières[Matière],0))</f>
        <v>0</v>
      </c>
      <c r="D32" s="48">
        <f>INDEX(tblMatières[Quantité déclarée (tonnes)],MATCH($B32,tblMatières[Matière],0))</f>
        <v>4325.6270000000004</v>
      </c>
      <c r="E32" s="144">
        <f>INDEX(tblMatières[Nombre déclarations],MATCH($B32,tblMatières[Matière],0))</f>
        <v>65</v>
      </c>
      <c r="F32" s="303">
        <f t="shared" si="6"/>
        <v>107332.72873813889</v>
      </c>
      <c r="G32" s="636">
        <f t="shared" si="7"/>
        <v>107332.72873813889</v>
      </c>
      <c r="I32" s="447"/>
    </row>
    <row r="33" spans="1:9">
      <c r="A33" s="266"/>
      <c r="B33" s="37" t="str">
        <f>INDEX(ListeMatières,20)</f>
        <v>Polystyrène expansé de protection</v>
      </c>
      <c r="C33" s="106">
        <f>INDEX(tblMatières[Frais d''étude],MATCH($B33,tblMatières[Matière],0))</f>
        <v>0</v>
      </c>
      <c r="D33" s="48">
        <f>INDEX(tblMatières[Quantité déclarée (tonnes)],MATCH($B33,tblMatières[Matière],0))</f>
        <v>1850.1969999999999</v>
      </c>
      <c r="E33" s="144">
        <f>INDEX(tblMatières[Nombre déclarations],MATCH($B33,tblMatières[Matière],0))</f>
        <v>117</v>
      </c>
      <c r="F33" s="303">
        <f>D33/D$38 * $E$38/$E$50 * FraisGestionImputés</f>
        <v>45909.342787327325</v>
      </c>
      <c r="G33" s="636">
        <f>C33+F33</f>
        <v>45909.342787327325</v>
      </c>
      <c r="I33" s="447"/>
    </row>
    <row r="34" spans="1:9">
      <c r="A34" s="38"/>
      <c r="B34" s="37" t="str">
        <f>INDEX(ListeMatières,21)</f>
        <v>Polystyrène non expansé</v>
      </c>
      <c r="C34" s="106">
        <f>INDEX(tblMatières[Frais d''étude],MATCH($B34,tblMatières[Matière],0))</f>
        <v>0</v>
      </c>
      <c r="D34" s="48">
        <f>INDEX(tblMatières[Quantité déclarée (tonnes)],MATCH($B34,tblMatières[Matière],0))</f>
        <v>4738.9629999999997</v>
      </c>
      <c r="E34" s="144">
        <f>INDEX(tblMatières[Nombre déclarations],MATCH($B34,tblMatières[Matière],0))</f>
        <v>150</v>
      </c>
      <c r="F34" s="303">
        <f t="shared" si="6"/>
        <v>117588.92530009565</v>
      </c>
      <c r="G34" s="636">
        <f t="shared" si="7"/>
        <v>117588.92530009565</v>
      </c>
      <c r="I34" s="447"/>
    </row>
    <row r="35" spans="1:9">
      <c r="A35" s="38"/>
      <c r="B35" s="37" t="str">
        <f>INDEX(ListeMatières,22)</f>
        <v>Contenants de PET</v>
      </c>
      <c r="C35" s="106">
        <f>INDEX(tblMatières[Frais d''étude],MATCH($B35,tblMatières[Matière],0))</f>
        <v>0</v>
      </c>
      <c r="D35" s="48">
        <f>INDEX(tblMatières[Quantité déclarée (tonnes)],MATCH($B35,tblMatières[Matière],0))</f>
        <v>7338.1760000000004</v>
      </c>
      <c r="E35" s="144">
        <f>INDEX(tblMatières[Nombre déclarations],MATCH($B35,tblMatières[Matière],0))</f>
        <v>110</v>
      </c>
      <c r="F35" s="303">
        <f t="shared" si="6"/>
        <v>182083.76590046281</v>
      </c>
      <c r="G35" s="636">
        <f t="shared" si="7"/>
        <v>182083.76590046281</v>
      </c>
      <c r="I35" s="447"/>
    </row>
    <row r="36" spans="1:9">
      <c r="A36" s="38"/>
      <c r="B36" s="37" t="str">
        <f>INDEX(ListeMatières,23)</f>
        <v>Acide polylactique (PLA) et autres plastiques dégradables</v>
      </c>
      <c r="C36" s="106">
        <f>INDEX(tblMatières[Frais d''étude],MATCH($B36,tblMatières[Matière],0))</f>
        <v>0</v>
      </c>
      <c r="D36" s="48">
        <f>INDEX(tblMatières[Quantité déclarée (tonnes)],MATCH($B36,tblMatières[Matière],0))</f>
        <v>82.570999999999998</v>
      </c>
      <c r="E36" s="144">
        <f>INDEX(tblMatières[Nombre déclarations],MATCH($B36,tblMatières[Matière],0))</f>
        <v>39</v>
      </c>
      <c r="F36" s="303">
        <f t="shared" si="6"/>
        <v>2048.8522807530253</v>
      </c>
      <c r="G36" s="636">
        <f t="shared" si="7"/>
        <v>2048.8522807530253</v>
      </c>
      <c r="I36" s="447"/>
    </row>
    <row r="37" spans="1:9">
      <c r="A37" s="38"/>
      <c r="B37" s="37" t="str">
        <f>INDEX(ListeMatières,24)</f>
        <v>Autres plastiques, polymères et polyuréthanne</v>
      </c>
      <c r="C37" s="106">
        <f>INDEX(tblMatières[Frais d''étude],MATCH($B37,tblMatières[Matière],0))</f>
        <v>0</v>
      </c>
      <c r="D37" s="48">
        <f>INDEX(tblMatières[Quantité déclarée (tonnes)],MATCH($B37,tblMatières[Matière],0))</f>
        <v>33170.372000000003</v>
      </c>
      <c r="E37" s="144">
        <f>INDEX(tblMatières[Nombre déclarations],MATCH($B37,tblMatières[Matière],0))</f>
        <v>534</v>
      </c>
      <c r="F37" s="303">
        <f t="shared" si="6"/>
        <v>823063.69458558457</v>
      </c>
      <c r="G37" s="636">
        <f t="shared" si="7"/>
        <v>823063.69458558457</v>
      </c>
      <c r="I37" s="447"/>
    </row>
    <row r="38" spans="1:9">
      <c r="A38" s="43" t="str">
        <f>'Sommaire exécutif'!A37</f>
        <v>Plastique TOTAL</v>
      </c>
      <c r="B38" s="10"/>
      <c r="C38" s="114">
        <f>SUBTOTAL(9,C27:C37)</f>
        <v>0</v>
      </c>
      <c r="D38" s="22">
        <f t="shared" ref="D38:G38" si="8">SUBTOTAL(9,D27:D37)</f>
        <v>134396.49200000003</v>
      </c>
      <c r="E38" s="61">
        <f t="shared" si="8"/>
        <v>2476</v>
      </c>
      <c r="F38" s="306">
        <f t="shared" si="8"/>
        <v>3334809.547654815</v>
      </c>
      <c r="G38" s="306">
        <f t="shared" si="8"/>
        <v>3334809.547654815</v>
      </c>
      <c r="I38" s="447"/>
    </row>
    <row r="39" spans="1:9">
      <c r="A39" s="46" t="str">
        <f>'Sommaire exécutif'!A38</f>
        <v>Aluminium</v>
      </c>
      <c r="B39" s="37" t="str">
        <f>INDEX(ListeMatières,25)</f>
        <v>Contenants pour aliments et breuvages en aluminium</v>
      </c>
      <c r="C39" s="106">
        <f>INDEX(tblMatières[Frais d''étude],MATCH($B39,tblMatières[Matière],0))</f>
        <v>0</v>
      </c>
      <c r="D39" s="144">
        <f>INDEX(tblMatières[Quantité déclarée (tonnes)],MATCH($B39,tblMatières[Matière],0))</f>
        <v>2927.57</v>
      </c>
      <c r="E39" s="58">
        <f>INDEX(tblMatières[Nombre déclarations],MATCH($B39,tblMatières[Matière],0))</f>
        <v>89</v>
      </c>
      <c r="F39" s="303">
        <f>D39/($D$44+$D$41) * ($E$44+$E$41)/$E$50 * FraisGestionImputés</f>
        <v>74229.535671701786</v>
      </c>
      <c r="G39" s="636">
        <f>C39+F39</f>
        <v>74229.535671701786</v>
      </c>
      <c r="I39" s="447"/>
    </row>
    <row r="40" spans="1:9">
      <c r="A40" s="46"/>
      <c r="B40" s="37" t="str">
        <f>INDEX(ListeMatières,26)</f>
        <v>Autres contenants et emballages en aluminium</v>
      </c>
      <c r="C40" s="106">
        <f>INDEX(tblMatières[Frais d''étude],MATCH($B40,tblMatières[Matière],0))</f>
        <v>0</v>
      </c>
      <c r="D40" s="144">
        <f>INDEX(tblMatières[Quantité déclarée (tonnes)],MATCH($B40,tblMatières[Matière],0))</f>
        <v>2080.3110000000001</v>
      </c>
      <c r="E40" s="58">
        <f>INDEX(tblMatières[Nombre déclarations],MATCH($B40,tblMatières[Matière],0))</f>
        <v>228</v>
      </c>
      <c r="F40" s="303">
        <f>D40/($D$44+$D$41) * ($E$44+$E$41)/$E$50 * FraisGestionImputés</f>
        <v>52746.994805498631</v>
      </c>
      <c r="G40" s="636">
        <f>C40+F40</f>
        <v>52746.994805498631</v>
      </c>
      <c r="I40" s="447"/>
    </row>
    <row r="41" spans="1:9">
      <c r="A41" s="43" t="str">
        <f>'Sommaire exécutif'!A40</f>
        <v>Aluminium TOTAL</v>
      </c>
      <c r="B41" s="10"/>
      <c r="C41" s="112">
        <f>SUBTOTAL(9,C39:C40)</f>
        <v>0</v>
      </c>
      <c r="D41" s="22">
        <f t="shared" ref="D41:G41" si="9">SUBTOTAL(9,D39:D40)</f>
        <v>5007.8810000000003</v>
      </c>
      <c r="E41" s="60">
        <f t="shared" si="9"/>
        <v>317</v>
      </c>
      <c r="F41" s="340">
        <f t="shared" si="9"/>
        <v>126976.53047720042</v>
      </c>
      <c r="G41" s="340">
        <f t="shared" si="9"/>
        <v>126976.53047720042</v>
      </c>
      <c r="I41" s="447"/>
    </row>
    <row r="42" spans="1:9">
      <c r="A42" s="46" t="str">
        <f>'Sommaire exécutif'!A41</f>
        <v>Acier</v>
      </c>
      <c r="B42" s="37" t="str">
        <f>INDEX(ListeMatières,27)</f>
        <v>Bombes aérosol en acier</v>
      </c>
      <c r="C42" s="106">
        <f>INDEX(tblMatières[Frais d''étude],MATCH($B42,tblMatières[Matière],0))</f>
        <v>0</v>
      </c>
      <c r="D42" s="144">
        <f>INDEX(tblMatières[Quantité déclarée (tonnes)],MATCH($B42,tblMatières[Matière],0))</f>
        <v>1674.335</v>
      </c>
      <c r="E42" s="58">
        <f>INDEX(tblMatières[Nombre déclarations],MATCH($B42,tblMatières[Matière],0))</f>
        <v>104</v>
      </c>
      <c r="F42" s="303">
        <f>D42/($D$44+$D$41) * ($E$44+$E$41)/$E$50 * FraisGestionImputés</f>
        <v>42453.33488486315</v>
      </c>
      <c r="G42" s="636">
        <f>C42+F42</f>
        <v>42453.33488486315</v>
      </c>
      <c r="I42" s="447"/>
    </row>
    <row r="43" spans="1:9">
      <c r="A43" s="46"/>
      <c r="B43" s="37" t="str">
        <f>INDEX(ListeMatières,28)</f>
        <v>Autres contenants en acier</v>
      </c>
      <c r="C43" s="106">
        <f>INDEX(tblMatières[Frais d''étude],MATCH($B43,tblMatières[Matière],0))</f>
        <v>0</v>
      </c>
      <c r="D43" s="144">
        <f>INDEX(tblMatières[Quantité déclarée (tonnes)],MATCH($B43,tblMatières[Matière],0))</f>
        <v>26835.954000000002</v>
      </c>
      <c r="E43" s="58">
        <f>INDEX(tblMatières[Nombre déclarations],MATCH($B43,tblMatières[Matière],0))</f>
        <v>210</v>
      </c>
      <c r="F43" s="303">
        <f>D43/($D$44+$D$41) * ($E$44+$E$41)/$E$50 * FraisGestionImputés</f>
        <v>680434.76491668809</v>
      </c>
      <c r="G43" s="636">
        <f>C43+F43</f>
        <v>680434.76491668809</v>
      </c>
      <c r="I43" s="447"/>
    </row>
    <row r="44" spans="1:9">
      <c r="A44" s="43" t="str">
        <f>'Sommaire exécutif'!A43</f>
        <v>Acier TOTAL</v>
      </c>
      <c r="B44" s="10"/>
      <c r="C44" s="112">
        <f t="shared" ref="C44:G44" si="10">SUBTOTAL(9,C42:C43)</f>
        <v>0</v>
      </c>
      <c r="D44" s="22">
        <f t="shared" si="10"/>
        <v>28510.289000000001</v>
      </c>
      <c r="E44" s="60">
        <f t="shared" si="10"/>
        <v>314</v>
      </c>
      <c r="F44" s="340">
        <f t="shared" si="10"/>
        <v>722888.0998015512</v>
      </c>
      <c r="G44" s="340">
        <f t="shared" si="10"/>
        <v>722888.0998015512</v>
      </c>
      <c r="I44" s="447"/>
    </row>
    <row r="45" spans="1:9">
      <c r="A45" s="46" t="str">
        <f>'Sommaire exécutif'!A44</f>
        <v>Verre</v>
      </c>
      <c r="B45" s="37" t="str">
        <f>INDEX(ListeMatières,29)</f>
        <v>Verre clair</v>
      </c>
      <c r="C45" s="106">
        <f>INDEX(tblMatières[Frais d''étude],MATCH($B45,tblMatières[Matière],0))</f>
        <v>0</v>
      </c>
      <c r="D45" s="144">
        <f>INDEX(tblMatières[Quantité déclarée (tonnes)],MATCH($B45,tblMatières[Matière],0))</f>
        <v>52387.877</v>
      </c>
      <c r="E45" s="58">
        <f>INDEX(tblMatières[Nombre déclarations],MATCH($B45,tblMatières[Matière],0))</f>
        <v>199</v>
      </c>
      <c r="F45" s="303">
        <f>D45/D$47 * $E$47/$E$50 * FraisGestionImputés</f>
        <v>170344.15188557538</v>
      </c>
      <c r="G45" s="636">
        <f>C45+F45</f>
        <v>170344.15188557538</v>
      </c>
      <c r="I45" s="447"/>
    </row>
    <row r="46" spans="1:9">
      <c r="A46" s="46"/>
      <c r="B46" s="242" t="str">
        <f>INDEX(ListeMatières,30)</f>
        <v>Verre coloré</v>
      </c>
      <c r="C46" s="106">
        <f>INDEX(tblMatières[Frais d''étude],MATCH($B46,tblMatières[Matière],0))</f>
        <v>0</v>
      </c>
      <c r="D46" s="144">
        <f>INDEX(tblMatières[Quantité déclarée (tonnes)],MATCH($B46,tblMatières[Matière],0))</f>
        <v>80574.570000000007</v>
      </c>
      <c r="E46" s="58">
        <f>INDEX(tblMatières[Nombre déclarations],MATCH($B46,tblMatières[Matière],0))</f>
        <v>122</v>
      </c>
      <c r="F46" s="303">
        <f>D46/D$47 * $E$47/$E$50 * FraisGestionImputés</f>
        <v>261995.85812944712</v>
      </c>
      <c r="G46" s="636">
        <f>C46+F46</f>
        <v>261995.85812944712</v>
      </c>
      <c r="I46" s="447"/>
    </row>
    <row r="47" spans="1:9">
      <c r="A47" s="43" t="str">
        <f>'Sommaire exécutif'!A46</f>
        <v>Verre TOTAL</v>
      </c>
      <c r="B47" s="10"/>
      <c r="C47" s="112">
        <f t="shared" ref="C47:G47" si="11">SUBTOTAL(9,C45:C46)</f>
        <v>0</v>
      </c>
      <c r="D47" s="22">
        <f t="shared" si="11"/>
        <v>132962.44700000001</v>
      </c>
      <c r="E47" s="60">
        <f t="shared" si="11"/>
        <v>321</v>
      </c>
      <c r="F47" s="306">
        <f t="shared" si="11"/>
        <v>432340.01001502248</v>
      </c>
      <c r="G47" s="306">
        <f t="shared" si="11"/>
        <v>432340.01001502248</v>
      </c>
      <c r="I47" s="447"/>
    </row>
    <row r="48" spans="1:9" ht="15" thickBot="1">
      <c r="A48" s="56" t="str">
        <f>'Sommaire exécutif'!A47</f>
        <v>CONTENANTS ET EMBALLAGES TOTAL</v>
      </c>
      <c r="B48" s="23"/>
      <c r="C48" s="115">
        <f>SUBTOTAL(9,C19:C47)</f>
        <v>0</v>
      </c>
      <c r="D48" s="21">
        <f t="shared" ref="D48:G48" si="12">SUBTOTAL(9,D19:D47)</f>
        <v>479048.94300000003</v>
      </c>
      <c r="E48" s="291">
        <f t="shared" si="12"/>
        <v>4989</v>
      </c>
      <c r="F48" s="307">
        <f t="shared" si="12"/>
        <v>6719452.6790185273</v>
      </c>
      <c r="G48" s="307">
        <f t="shared" si="12"/>
        <v>6719452.6790185273</v>
      </c>
      <c r="I48" s="447"/>
    </row>
    <row r="49" spans="1:7" ht="8.25" customHeight="1">
      <c r="A49" s="38"/>
      <c r="B49" s="35"/>
      <c r="C49" s="116"/>
      <c r="D49" s="144"/>
      <c r="E49" s="37"/>
      <c r="F49" s="303"/>
      <c r="G49" s="303"/>
    </row>
    <row r="50" spans="1:7" ht="15" thickBot="1">
      <c r="A50" s="57" t="str">
        <f>'Sommaire exécutif'!A49</f>
        <v>TOTAL</v>
      </c>
      <c r="B50" s="14"/>
      <c r="C50" s="241">
        <f>SUBTOTAL(9,C10:C48)</f>
        <v>0</v>
      </c>
      <c r="D50" s="220">
        <f t="shared" ref="D50:G50" si="13">SUBTOTAL(9,D10:D48)</f>
        <v>637067.77300000004</v>
      </c>
      <c r="E50" s="62">
        <f t="shared" si="13"/>
        <v>5991</v>
      </c>
      <c r="F50" s="309">
        <f t="shared" si="13"/>
        <v>8068999.9999999981</v>
      </c>
      <c r="G50" s="309">
        <f t="shared" si="13"/>
        <v>8068999.9999999981</v>
      </c>
    </row>
    <row r="51" spans="1:7" ht="15" thickTop="1"/>
  </sheetData>
  <sheetProtection password="82A0" sheet="1" objects="1" scenarios="1"/>
  <mergeCells count="1">
    <mergeCell ref="C6:G6"/>
  </mergeCells>
  <pageMargins left="0.7" right="0.7" top="0.75" bottom="0.75" header="0.3" footer="0.3"/>
  <pageSetup scale="52" fitToHeight="0" orientation="landscape" r:id="rId1"/>
  <ignoredErrors>
    <ignoredError sqref="C34:G37 C27:G32 C39:G40 C42:G4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1"/>
  <sheetViews>
    <sheetView showGridLines="0" zoomScale="80" zoomScaleNormal="80" zoomScaleSheetLayoutView="80" workbookViewId="0">
      <pane xSplit="2" ySplit="7" topLeftCell="C17" activePane="bottomRight" state="frozen"/>
      <selection pane="topRight" activeCell="C1" sqref="C1"/>
      <selection pane="bottomLeft" activeCell="A8" sqref="A8"/>
      <selection pane="bottomRight" activeCell="K55" sqref="K55"/>
    </sheetView>
  </sheetViews>
  <sheetFormatPr baseColWidth="10" defaultColWidth="13.44140625" defaultRowHeight="14.4"/>
  <cols>
    <col min="1" max="1" width="26.5546875" customWidth="1"/>
    <col min="2" max="2" width="74.6640625" customWidth="1"/>
    <col min="3" max="3" width="16.5546875" bestFit="1" customWidth="1"/>
    <col min="4" max="5" width="19" customWidth="1"/>
    <col min="6" max="6" width="17.44140625" customWidth="1"/>
    <col min="7" max="7" width="17.44140625" bestFit="1" customWidth="1"/>
    <col min="8" max="8" width="19.109375" customWidth="1"/>
    <col min="9" max="9" width="16.44140625" customWidth="1"/>
    <col min="10" max="10" width="17.44140625" customWidth="1"/>
    <col min="12" max="12" width="18.44140625" customWidth="1"/>
  </cols>
  <sheetData>
    <row r="1" spans="1:12" s="159" customFormat="1" ht="15" thickBot="1">
      <c r="A1" s="4" t="s">
        <v>217</v>
      </c>
      <c r="B1" s="36"/>
    </row>
    <row r="2" spans="1:12" ht="6.75" customHeight="1" thickBot="1"/>
    <row r="3" spans="1:12" ht="18" thickBot="1">
      <c r="A3" s="93" t="str">
        <f>Paramètres!B4</f>
        <v>Tarif</v>
      </c>
      <c r="B3" s="245">
        <f>AnnéeTarif</f>
        <v>2016</v>
      </c>
    </row>
    <row r="4" spans="1:12" ht="18" thickBot="1">
      <c r="A4" s="93" t="str">
        <f>Paramètres!B5</f>
        <v>Scénario</v>
      </c>
      <c r="B4" s="245" t="str">
        <f>Paramètres!C5</f>
        <v>Publication Juillet 2016</v>
      </c>
    </row>
    <row r="5" spans="1:12" ht="18" thickBot="1">
      <c r="A5" s="93" t="str">
        <f>Paramètres!B6</f>
        <v>Année de référence</v>
      </c>
      <c r="B5" s="94">
        <f>AnnéeRéf</f>
        <v>2015</v>
      </c>
    </row>
    <row r="6" spans="1:12" ht="17.25" customHeight="1" thickBot="1">
      <c r="C6" s="657" t="s">
        <v>217</v>
      </c>
      <c r="D6" s="658"/>
      <c r="E6" s="658"/>
      <c r="F6" s="658"/>
      <c r="G6" s="658"/>
      <c r="H6" s="658"/>
      <c r="I6" s="658"/>
      <c r="J6" s="658"/>
      <c r="K6" s="658"/>
      <c r="L6" s="659"/>
    </row>
    <row r="7" spans="1:12" ht="41.4">
      <c r="A7" s="42" t="str">
        <f>'Sommaire exécutif'!A7</f>
        <v>CATÉGORIE</v>
      </c>
      <c r="B7" s="9" t="str">
        <f>'Sommaire exécutif'!B7</f>
        <v>Matière</v>
      </c>
      <c r="C7" s="571" t="s">
        <v>214</v>
      </c>
      <c r="D7" s="572" t="s">
        <v>215</v>
      </c>
      <c r="E7" s="572" t="s">
        <v>222</v>
      </c>
      <c r="F7" s="572" t="s">
        <v>211</v>
      </c>
      <c r="G7" s="572" t="s">
        <v>216</v>
      </c>
      <c r="H7" s="572" t="s">
        <v>220</v>
      </c>
      <c r="I7" s="572" t="s">
        <v>221</v>
      </c>
      <c r="J7" s="572" t="s">
        <v>223</v>
      </c>
      <c r="K7" s="572" t="s">
        <v>224</v>
      </c>
      <c r="L7" s="572" t="s">
        <v>225</v>
      </c>
    </row>
    <row r="8" spans="1:12">
      <c r="A8" s="70"/>
      <c r="B8" s="72"/>
      <c r="C8" s="70"/>
      <c r="D8" s="71"/>
      <c r="E8" s="71"/>
      <c r="F8" s="71"/>
      <c r="G8" s="71"/>
      <c r="H8" s="71"/>
      <c r="I8" s="71"/>
      <c r="J8" s="71"/>
      <c r="K8" s="71"/>
      <c r="L8" s="71"/>
    </row>
    <row r="9" spans="1:12">
      <c r="A9" s="43" t="str">
        <f>'Sommaire exécutif'!A8</f>
        <v>IMPRIMÉS</v>
      </c>
      <c r="B9" s="11"/>
      <c r="C9" s="110"/>
      <c r="D9" s="111"/>
      <c r="E9" s="111"/>
      <c r="F9" s="11"/>
      <c r="G9" s="111"/>
      <c r="H9" s="111"/>
      <c r="I9" s="111"/>
      <c r="J9" s="111"/>
      <c r="K9" s="111"/>
      <c r="L9" s="111"/>
    </row>
    <row r="10" spans="1:12">
      <c r="A10" s="266"/>
      <c r="B10" s="37" t="str">
        <f>INDEX(ListeMatières,1)</f>
        <v>Encarts et circulaires imprimés sur du papier journal</v>
      </c>
      <c r="C10" s="163">
        <f>INDEX(tblMatières[Quantité déclarée précédente],MATCH($B10,tblMatières[Matière],0))</f>
        <v>100503.348</v>
      </c>
      <c r="D10" s="581">
        <f>INDEX(tblMatières[Taux précédent],MATCH($B10,tblMatières[Matière],0))</f>
        <v>160.44</v>
      </c>
      <c r="E10" s="176">
        <f>INDEX(tblMatières[Quantité déclarée (tonnes)],MATCH($B10,tblMatières[Matière],0))</f>
        <v>97857.077999999994</v>
      </c>
      <c r="F10" s="581">
        <f>SUM(Tarif!H11:K11)/Tarif!G11</f>
        <v>171.75228874422513</v>
      </c>
      <c r="G10" s="582">
        <f>F10/D10-1</f>
        <v>7.050790790466932E-2</v>
      </c>
      <c r="H10" s="303">
        <f t="shared" ref="H10:H15" si="0">D10*(1+LimiteHausse)</f>
        <v>240.66</v>
      </c>
      <c r="I10" s="627">
        <f>MAX((F10-H10)*E10,0)</f>
        <v>0</v>
      </c>
      <c r="J10" s="488">
        <f>MIN((F10-H10)*E10,0)</f>
        <v>-6743107.2751578391</v>
      </c>
      <c r="K10" s="582">
        <f>J10/$J$16</f>
        <v>0.52825124128660328</v>
      </c>
      <c r="L10" s="634">
        <f>K10*$I$16 - I10</f>
        <v>0</v>
      </c>
    </row>
    <row r="11" spans="1:12">
      <c r="A11" s="266"/>
      <c r="B11" s="37" t="str">
        <f>INDEX(ListeMatières,2)</f>
        <v>Catalogues et publications</v>
      </c>
      <c r="C11" s="163">
        <f>INDEX(tblMatières[Quantité déclarée précédente],MATCH($B11,tblMatières[Matière],0))</f>
        <v>16909.731</v>
      </c>
      <c r="D11" s="581">
        <f>INDEX(tblMatières[Taux précédent],MATCH($B11,tblMatières[Matière],0))</f>
        <v>232.86</v>
      </c>
      <c r="E11" s="176">
        <f>INDEX(tblMatières[Quantité déclarée (tonnes)],MATCH($B11,tblMatières[Matière],0))</f>
        <v>16849.689999999999</v>
      </c>
      <c r="F11" s="581">
        <f>SUM(Tarif!$H$12:$K$16)/SUM(Tarif!$G$12:$G$16)</f>
        <v>249.19558777159503</v>
      </c>
      <c r="G11" s="582">
        <f t="shared" ref="G11:G15" si="1">F11/D11-1</f>
        <v>7.015197016059016E-2</v>
      </c>
      <c r="H11" s="303">
        <f t="shared" si="0"/>
        <v>349.29</v>
      </c>
      <c r="I11" s="591">
        <f t="shared" ref="I11:I15" si="2">MAX((F11-H11)*E11,0)</f>
        <v>0</v>
      </c>
      <c r="J11" s="488">
        <f t="shared" ref="J11:J15" si="3">MIN((F11-H11)*E11,0)</f>
        <v>-1686559.8167808331</v>
      </c>
      <c r="K11" s="582">
        <f t="shared" ref="K11:K15" si="4">J11/$J$16</f>
        <v>0.1321241499450603</v>
      </c>
      <c r="L11" s="634">
        <f t="shared" ref="L11:L15" si="5">K11*$I$16 - I11</f>
        <v>0</v>
      </c>
    </row>
    <row r="12" spans="1:12">
      <c r="A12" s="266"/>
      <c r="B12" s="37" t="str">
        <f>INDEX(ListeMatières,3)</f>
        <v>Magazines</v>
      </c>
      <c r="C12" s="163">
        <f>INDEX(tblMatières[Quantité déclarée précédente],MATCH($B12,tblMatières[Matière],0))</f>
        <v>10816.571</v>
      </c>
      <c r="D12" s="581">
        <f>INDEX(tblMatières[Taux précédent],MATCH($B12,tblMatières[Matière],0))</f>
        <v>232.86</v>
      </c>
      <c r="E12" s="176">
        <f>INDEX(tblMatières[Quantité déclarée (tonnes)],MATCH($B12,tblMatières[Matière],0))</f>
        <v>10816.571</v>
      </c>
      <c r="F12" s="581">
        <f>SUM(Tarif!$H$12:$K$16)/SUM(Tarif!$G$12:$G$16)</f>
        <v>249.19558777159503</v>
      </c>
      <c r="G12" s="582">
        <f t="shared" si="1"/>
        <v>7.015197016059016E-2</v>
      </c>
      <c r="H12" s="303">
        <f t="shared" si="0"/>
        <v>349.29</v>
      </c>
      <c r="I12" s="591">
        <f t="shared" si="2"/>
        <v>0</v>
      </c>
      <c r="J12" s="488">
        <f t="shared" si="3"/>
        <v>-1082678.3165718107</v>
      </c>
      <c r="K12" s="582">
        <f t="shared" si="4"/>
        <v>8.4816411975258355E-2</v>
      </c>
      <c r="L12" s="634">
        <f t="shared" si="5"/>
        <v>0</v>
      </c>
    </row>
    <row r="13" spans="1:12">
      <c r="A13" s="266"/>
      <c r="B13" s="37" t="str">
        <f>INDEX(ListeMatières,4)</f>
        <v>Annuaires téléphoniques</v>
      </c>
      <c r="C13" s="163">
        <f>INDEX(tblMatières[Quantité déclarée précédente],MATCH($B13,tblMatières[Matière],0))</f>
        <v>1956.9110000000001</v>
      </c>
      <c r="D13" s="581">
        <f>INDEX(tblMatières[Taux précédent],MATCH($B13,tblMatières[Matière],0))</f>
        <v>232.86</v>
      </c>
      <c r="E13" s="176">
        <f>INDEX(tblMatières[Quantité déclarée (tonnes)],MATCH($B13,tblMatières[Matière],0))</f>
        <v>1956.9110000000001</v>
      </c>
      <c r="F13" s="581">
        <f>SUM(Tarif!$H$12:$K$16)/SUM(Tarif!$G$12:$G$16)</f>
        <v>249.19558777159503</v>
      </c>
      <c r="G13" s="582">
        <f t="shared" si="1"/>
        <v>7.015197016059016E-2</v>
      </c>
      <c r="H13" s="303">
        <f t="shared" si="0"/>
        <v>349.29</v>
      </c>
      <c r="I13" s="591">
        <f t="shared" si="2"/>
        <v>0</v>
      </c>
      <c r="J13" s="488">
        <f t="shared" si="3"/>
        <v>-195875.85632830026</v>
      </c>
      <c r="K13" s="582">
        <f t="shared" si="4"/>
        <v>1.534480470519861E-2</v>
      </c>
      <c r="L13" s="634">
        <f t="shared" si="5"/>
        <v>0</v>
      </c>
    </row>
    <row r="14" spans="1:12">
      <c r="A14" s="266"/>
      <c r="B14" s="37" t="str">
        <f>INDEX(ListeMatières,5)</f>
        <v>Papier à usage général</v>
      </c>
      <c r="C14" s="163">
        <f>INDEX(tblMatières[Quantité déclarée précédente],MATCH($B14,tblMatières[Matière],0))</f>
        <v>4514.6930000000002</v>
      </c>
      <c r="D14" s="581">
        <f>INDEX(tblMatières[Taux précédent],MATCH($B14,tblMatières[Matière],0))</f>
        <v>232.86</v>
      </c>
      <c r="E14" s="176">
        <f>INDEX(tblMatières[Quantité déclarée (tonnes)],MATCH($B14,tblMatières[Matière],0))</f>
        <v>4514.6930000000002</v>
      </c>
      <c r="F14" s="581">
        <f>SUM(Tarif!$H$12:$K$16)/SUM(Tarif!$G$12:$G$16)</f>
        <v>249.19558777159503</v>
      </c>
      <c r="G14" s="582">
        <f t="shared" si="1"/>
        <v>7.015197016059016E-2</v>
      </c>
      <c r="H14" s="303">
        <f t="shared" si="0"/>
        <v>349.29</v>
      </c>
      <c r="I14" s="591">
        <f t="shared" si="2"/>
        <v>0</v>
      </c>
      <c r="J14" s="488">
        <f t="shared" si="3"/>
        <v>-451895.54222669441</v>
      </c>
      <c r="K14" s="582">
        <f t="shared" si="4"/>
        <v>3.5401243280316387E-2</v>
      </c>
      <c r="L14" s="634">
        <f t="shared" si="5"/>
        <v>0</v>
      </c>
    </row>
    <row r="15" spans="1:12">
      <c r="A15" s="266"/>
      <c r="B15" s="37" t="str">
        <f>INDEX(ListeMatières,6)</f>
        <v>Autres imprimés</v>
      </c>
      <c r="C15" s="163">
        <f>INDEX(tblMatières[Quantité déclarée précédente],MATCH($B15,tblMatières[Matière],0))</f>
        <v>26543.002</v>
      </c>
      <c r="D15" s="581">
        <f>INDEX(tblMatières[Taux précédent],MATCH($B15,tblMatières[Matière],0))</f>
        <v>232.86</v>
      </c>
      <c r="E15" s="176">
        <f>INDEX(tblMatières[Quantité déclarée (tonnes)],MATCH($B15,tblMatières[Matière],0))</f>
        <v>26023.886999999999</v>
      </c>
      <c r="F15" s="581">
        <f>SUM(Tarif!$H$12:$K$16)/SUM(Tarif!$G$12:$G$16)</f>
        <v>249.19558777159503</v>
      </c>
      <c r="G15" s="582">
        <f t="shared" si="1"/>
        <v>7.015197016059016E-2</v>
      </c>
      <c r="H15" s="303">
        <f t="shared" si="0"/>
        <v>349.29</v>
      </c>
      <c r="I15" s="591">
        <f t="shared" si="2"/>
        <v>0</v>
      </c>
      <c r="J15" s="488">
        <f t="shared" si="3"/>
        <v>-2604845.6731634294</v>
      </c>
      <c r="K15" s="582">
        <f t="shared" si="4"/>
        <v>0.20406214880756296</v>
      </c>
      <c r="L15" s="634">
        <f t="shared" si="5"/>
        <v>0</v>
      </c>
    </row>
    <row r="16" spans="1:12" ht="15" thickBot="1">
      <c r="A16" s="55" t="str">
        <f>'Sommaire exécutif'!A15</f>
        <v>IMPRIMÉS TOTAL</v>
      </c>
      <c r="B16" s="20"/>
      <c r="C16" s="21">
        <f>SUBTOTAL(9,C10:C15)</f>
        <v>161244.25599999999</v>
      </c>
      <c r="D16" s="21"/>
      <c r="E16" s="21">
        <f>SUBTOTAL(9,E10:E15)</f>
        <v>158018.82999999999</v>
      </c>
      <c r="F16" s="21"/>
      <c r="G16" s="305"/>
      <c r="H16" s="305"/>
      <c r="I16" s="628">
        <f>SUBTOTAL(9,I10:I15)</f>
        <v>0</v>
      </c>
      <c r="J16" s="586">
        <f>SUBTOTAL(9,J10:J15)</f>
        <v>-12764962.480228908</v>
      </c>
      <c r="K16" s="91">
        <f>SUBTOTAL(9,K10:K15)</f>
        <v>0.99999999999999978</v>
      </c>
      <c r="L16" s="586">
        <f>SUBTOTAL(9,L10:L15)</f>
        <v>0</v>
      </c>
    </row>
    <row r="17" spans="1:12">
      <c r="A17" s="266"/>
      <c r="B17" s="35"/>
      <c r="C17" s="106"/>
      <c r="D17" s="144"/>
      <c r="E17" s="144"/>
      <c r="F17" s="37"/>
      <c r="G17" s="303"/>
      <c r="H17" s="303"/>
      <c r="I17" s="303"/>
      <c r="J17" s="303"/>
      <c r="K17" s="303"/>
      <c r="L17" s="303"/>
    </row>
    <row r="18" spans="1:12">
      <c r="A18" s="43" t="str">
        <f>'Sommaire exécutif'!A17</f>
        <v>CONTENANTS ET EMBALLAGES</v>
      </c>
      <c r="B18" s="11"/>
      <c r="C18" s="110"/>
      <c r="D18" s="219"/>
      <c r="E18" s="219"/>
      <c r="F18" s="11"/>
      <c r="G18" s="310"/>
      <c r="H18" s="310"/>
      <c r="I18" s="310"/>
      <c r="J18" s="310"/>
      <c r="K18" s="310"/>
      <c r="L18" s="310"/>
    </row>
    <row r="19" spans="1:12">
      <c r="A19" s="46" t="str">
        <f>'Sommaire exécutif'!A18</f>
        <v>Papier et carton</v>
      </c>
      <c r="B19" s="37" t="str">
        <f>INDEX(ListeMatières,7)</f>
        <v>Carton ondulé</v>
      </c>
      <c r="C19" s="163">
        <f>INDEX(tblMatières[Quantité déclarée précédente],MATCH($B19,tblMatières[Matière],0))</f>
        <v>57170.796000000002</v>
      </c>
      <c r="D19" s="581">
        <f>INDEX(tblMatières[Taux précédent],MATCH($B19,tblMatières[Matière],0))</f>
        <v>185.93</v>
      </c>
      <c r="E19" s="176">
        <f>INDEX(tblMatières[Quantité déclarée (tonnes)],MATCH($B19,tblMatières[Matière],0))</f>
        <v>56835.883000000002</v>
      </c>
      <c r="F19" s="581">
        <f>SUM(Tarif!$H$20:$K$22)/SUM(Tarif!$G$20:$G$22)</f>
        <v>192.45567229563403</v>
      </c>
      <c r="G19" s="582">
        <f t="shared" ref="G19:G25" si="6">F19/D19-1</f>
        <v>3.5097468378604946E-2</v>
      </c>
      <c r="H19" s="303">
        <f t="shared" ref="H19:H25" si="7">D19*(1+LimiteHausse)</f>
        <v>278.89499999999998</v>
      </c>
      <c r="I19" s="627">
        <f t="shared" ref="I19:I25" si="8">MAX((F19-H19)*E19,0)</f>
        <v>0</v>
      </c>
      <c r="J19" s="488">
        <f t="shared" ref="J19:J25" si="9">MIN((F19-H19)*E19,0)</f>
        <v>-4912855.5160040017</v>
      </c>
      <c r="K19" s="582">
        <f>J19/$J$48</f>
        <v>0.11545364303155886</v>
      </c>
      <c r="L19" s="634">
        <f>K19*$I$48-I19</f>
        <v>0</v>
      </c>
    </row>
    <row r="20" spans="1:12">
      <c r="A20" s="46"/>
      <c r="B20" s="37" t="str">
        <f>INDEX(ListeMatières,8)</f>
        <v>Sacs de papier kraft</v>
      </c>
      <c r="C20" s="163">
        <f>INDEX(tblMatières[Quantité déclarée précédente],MATCH($B20,tblMatières[Matière],0))</f>
        <v>2779.5329999999999</v>
      </c>
      <c r="D20" s="581">
        <f>INDEX(tblMatières[Taux précédent],MATCH($B20,tblMatières[Matière],0))</f>
        <v>185.93</v>
      </c>
      <c r="E20" s="176">
        <f>INDEX(tblMatières[Quantité déclarée (tonnes)],MATCH($B20,tblMatières[Matière],0))</f>
        <v>2779.5329999999999</v>
      </c>
      <c r="F20" s="581">
        <f>SUM(Tarif!$H$20:$K$22)/SUM(Tarif!$G$20:$G$22)</f>
        <v>192.45567229563403</v>
      </c>
      <c r="G20" s="582">
        <f t="shared" si="6"/>
        <v>3.5097468378604946E-2</v>
      </c>
      <c r="H20" s="303">
        <f t="shared" si="7"/>
        <v>278.89499999999998</v>
      </c>
      <c r="I20" s="591">
        <f t="shared" si="8"/>
        <v>0</v>
      </c>
      <c r="J20" s="488">
        <f t="shared" si="9"/>
        <v>-240260.9638520994</v>
      </c>
      <c r="K20" s="582">
        <f t="shared" ref="K20:K25" si="10">J20/$J$48</f>
        <v>5.6462078855436786E-3</v>
      </c>
      <c r="L20" s="634">
        <f t="shared" ref="L20:L25" si="11">K20*$I$48-I20</f>
        <v>0</v>
      </c>
    </row>
    <row r="21" spans="1:12">
      <c r="A21" s="46"/>
      <c r="B21" s="37" t="str">
        <f>INDEX(ListeMatières,9)</f>
        <v>Emballages de papier kraft</v>
      </c>
      <c r="C21" s="163">
        <f>INDEX(tblMatières[Quantité déclarée précédente],MATCH($B21,tblMatières[Matière],0))</f>
        <v>311.67700000000002</v>
      </c>
      <c r="D21" s="581">
        <f>INDEX(tblMatières[Taux précédent],MATCH($B21,tblMatières[Matière],0))</f>
        <v>185.93</v>
      </c>
      <c r="E21" s="176">
        <f>INDEX(tblMatières[Quantité déclarée (tonnes)],MATCH($B21,tblMatières[Matière],0))</f>
        <v>311.67700000000002</v>
      </c>
      <c r="F21" s="581">
        <f>SUM(Tarif!$H$20:$K$22)/SUM(Tarif!$G$20:$G$22)</f>
        <v>192.45567229563403</v>
      </c>
      <c r="G21" s="582">
        <f t="shared" si="6"/>
        <v>3.5097468378604946E-2</v>
      </c>
      <c r="H21" s="303">
        <f t="shared" si="7"/>
        <v>278.89499999999998</v>
      </c>
      <c r="I21" s="591">
        <f t="shared" si="8"/>
        <v>0</v>
      </c>
      <c r="J21" s="488">
        <f t="shared" si="9"/>
        <v>-26941.150340913668</v>
      </c>
      <c r="K21" s="582">
        <f t="shared" si="10"/>
        <v>6.3312546932977481E-4</v>
      </c>
      <c r="L21" s="634">
        <f t="shared" si="11"/>
        <v>0</v>
      </c>
    </row>
    <row r="22" spans="1:12">
      <c r="A22" s="46"/>
      <c r="B22" s="37" t="str">
        <f>INDEX(ListeMatières,10)</f>
        <v>Carton plat et autres emballages de papier</v>
      </c>
      <c r="C22" s="163">
        <f>INDEX(tblMatières[Quantité déclarée précédente],MATCH($B22,tblMatières[Matière],0))</f>
        <v>87558.263999999996</v>
      </c>
      <c r="D22" s="581">
        <f>INDEX(tblMatières[Taux précédent],MATCH($B22,tblMatières[Matière],0))</f>
        <v>195.27</v>
      </c>
      <c r="E22" s="176">
        <f>INDEX(tblMatières[Quantité déclarée (tonnes)],MATCH($B22,tblMatières[Matière],0))</f>
        <v>87303.759000000005</v>
      </c>
      <c r="F22" s="581">
        <f>SUM(Tarif!H23:K23)/Tarif!G23</f>
        <v>207.39310556714872</v>
      </c>
      <c r="G22" s="582">
        <f t="shared" si="6"/>
        <v>6.2083809940844503E-2</v>
      </c>
      <c r="H22" s="303">
        <f t="shared" si="7"/>
        <v>292.90500000000003</v>
      </c>
      <c r="I22" s="591">
        <f t="shared" si="8"/>
        <v>0</v>
      </c>
      <c r="J22" s="488">
        <f t="shared" si="9"/>
        <v>-7465509.8231990924</v>
      </c>
      <c r="K22" s="582">
        <f t="shared" si="10"/>
        <v>0.17544181858563782</v>
      </c>
      <c r="L22" s="634">
        <f t="shared" si="11"/>
        <v>0</v>
      </c>
    </row>
    <row r="23" spans="1:12">
      <c r="A23" s="46"/>
      <c r="B23" s="37" t="str">
        <f>INDEX(ListeMatières,11)</f>
        <v>Contenants à pignon</v>
      </c>
      <c r="C23" s="163">
        <f>INDEX(tblMatières[Quantité déclarée précédente],MATCH($B23,tblMatières[Matière],0))</f>
        <v>12195.59</v>
      </c>
      <c r="D23" s="581">
        <f>INDEX(tblMatières[Taux précédent],MATCH($B23,tblMatières[Matière],0))</f>
        <v>195.28</v>
      </c>
      <c r="E23" s="176">
        <f>INDEX(tblMatières[Quantité déclarée (tonnes)],MATCH($B23,tblMatières[Matière],0))</f>
        <v>12195.004999999999</v>
      </c>
      <c r="F23" s="581">
        <f>SUM(Tarif!H24:K24)/Tarif!G24</f>
        <v>213.77379559556351</v>
      </c>
      <c r="G23" s="582">
        <f t="shared" si="6"/>
        <v>9.4703992193586162E-2</v>
      </c>
      <c r="H23" s="303">
        <f t="shared" si="7"/>
        <v>292.92</v>
      </c>
      <c r="I23" s="591">
        <f t="shared" si="8"/>
        <v>0</v>
      </c>
      <c r="J23" s="488">
        <f t="shared" si="9"/>
        <v>-965188.35844312515</v>
      </c>
      <c r="K23" s="582">
        <f t="shared" si="10"/>
        <v>2.2682228661295333E-2</v>
      </c>
      <c r="L23" s="634">
        <f t="shared" si="11"/>
        <v>0</v>
      </c>
    </row>
    <row r="24" spans="1:12">
      <c r="A24" s="46"/>
      <c r="B24" s="37" t="str">
        <f>INDEX(ListeMatières,12)</f>
        <v>Laminés de papier</v>
      </c>
      <c r="C24" s="163">
        <f>INDEX(tblMatières[Quantité déclarée précédente],MATCH($B24,tblMatières[Matière],0))</f>
        <v>12555.716</v>
      </c>
      <c r="D24" s="581">
        <f>INDEX(tblMatières[Taux précédent],MATCH($B24,tblMatières[Matière],0))</f>
        <v>244.95</v>
      </c>
      <c r="E24" s="176">
        <f>INDEX(tblMatières[Quantité déclarée (tonnes)],MATCH($B24,tblMatières[Matière],0))</f>
        <v>12539.928</v>
      </c>
      <c r="F24" s="581">
        <f>SUM(Tarif!H25:K25)/Tarif!G25</f>
        <v>289.35793660182259</v>
      </c>
      <c r="G24" s="582">
        <f t="shared" si="6"/>
        <v>0.18129388284067205</v>
      </c>
      <c r="H24" s="303">
        <f t="shared" si="7"/>
        <v>367.42499999999995</v>
      </c>
      <c r="I24" s="591">
        <f t="shared" si="8"/>
        <v>0</v>
      </c>
      <c r="J24" s="488">
        <f t="shared" si="9"/>
        <v>-978955.35418457957</v>
      </c>
      <c r="K24" s="582">
        <f t="shared" si="10"/>
        <v>2.3005757372199433E-2</v>
      </c>
      <c r="L24" s="634">
        <f t="shared" si="11"/>
        <v>0</v>
      </c>
    </row>
    <row r="25" spans="1:12">
      <c r="A25" s="46"/>
      <c r="B25" s="37" t="str">
        <f>INDEX(ListeMatières,13)</f>
        <v>Contenants aseptiques</v>
      </c>
      <c r="C25" s="163">
        <f>INDEX(tblMatières[Quantité déclarée précédente],MATCH($B25,tblMatières[Matière],0))</f>
        <v>6206.1570000000002</v>
      </c>
      <c r="D25" s="581">
        <f>INDEX(tblMatières[Taux précédent],MATCH($B25,tblMatières[Matière],0))</f>
        <v>228.69</v>
      </c>
      <c r="E25" s="176">
        <f>INDEX(tblMatières[Quantité déclarée (tonnes)],MATCH($B25,tblMatières[Matière],0))</f>
        <v>6206.049</v>
      </c>
      <c r="F25" s="581">
        <f>SUM(Tarif!H26:K26)/Tarif!G26</f>
        <v>237.01133212519002</v>
      </c>
      <c r="G25" s="582">
        <f t="shared" si="6"/>
        <v>3.6386952316192378E-2</v>
      </c>
      <c r="H25" s="303">
        <f t="shared" si="7"/>
        <v>343.03499999999997</v>
      </c>
      <c r="I25" s="591">
        <f t="shared" si="8"/>
        <v>0</v>
      </c>
      <c r="J25" s="488">
        <f t="shared" si="9"/>
        <v>-657988.07799079642</v>
      </c>
      <c r="K25" s="582">
        <f t="shared" si="10"/>
        <v>1.5462925874351937E-2</v>
      </c>
      <c r="L25" s="634">
        <f t="shared" si="11"/>
        <v>0</v>
      </c>
    </row>
    <row r="26" spans="1:12">
      <c r="A26" s="43" t="str">
        <f>'Sommaire exécutif'!A25</f>
        <v>Papier et carton TOTAL</v>
      </c>
      <c r="B26" s="10"/>
      <c r="C26" s="22">
        <f t="shared" ref="C26:E26" si="12">SUBTOTAL(9,C19:C25)</f>
        <v>178777.73300000001</v>
      </c>
      <c r="D26" s="22"/>
      <c r="E26" s="22">
        <f t="shared" si="12"/>
        <v>178171.83400000003</v>
      </c>
      <c r="F26" s="22"/>
      <c r="G26" s="306"/>
      <c r="H26" s="306"/>
      <c r="I26" s="629">
        <f t="shared" ref="I26:K26" si="13">SUBTOTAL(9,I19:I25)</f>
        <v>0</v>
      </c>
      <c r="J26" s="588">
        <f t="shared" si="13"/>
        <v>-15247699.24401461</v>
      </c>
      <c r="K26" s="89">
        <f t="shared" si="13"/>
        <v>0.35832570687991683</v>
      </c>
      <c r="L26" s="588">
        <f t="shared" ref="L26" si="14">SUBTOTAL(9,L19:L25)</f>
        <v>0</v>
      </c>
    </row>
    <row r="27" spans="1:12">
      <c r="A27" s="46" t="str">
        <f>'Sommaire exécutif'!A26</f>
        <v>Plastique</v>
      </c>
      <c r="B27" s="37" t="str">
        <f>INDEX(ListeMatières,14)</f>
        <v>Bouteilles PET</v>
      </c>
      <c r="C27" s="163">
        <f>INDEX(tblMatières[Quantité déclarée précédente],MATCH($B27,tblMatières[Matière],0))</f>
        <v>23176.743999999999</v>
      </c>
      <c r="D27" s="581">
        <f>INDEX(tblMatières[Taux précédent],MATCH($B27,tblMatières[Matière],0))</f>
        <v>262.35000000000002</v>
      </c>
      <c r="E27" s="176">
        <f>INDEX(tblMatières[Quantité déclarée (tonnes)],MATCH($B27,tblMatières[Matière],0))</f>
        <v>23327.881000000001</v>
      </c>
      <c r="F27" s="581">
        <f>SUM(Tarif!$H$28:$K$28)/(Tarif!$G$28+Tarif!$G$36)</f>
        <v>276.10759755348789</v>
      </c>
      <c r="G27" s="582">
        <f t="shared" ref="G27:G37" si="15">F27/D27-1</f>
        <v>5.2439861076759575E-2</v>
      </c>
      <c r="H27" s="303">
        <f t="shared" ref="H27:H37" si="16">D27*(1+LimiteHausse)</f>
        <v>393.52500000000003</v>
      </c>
      <c r="I27" s="591">
        <f t="shared" ref="I27:I37" si="17">MAX((F27-H27)*E27,0)</f>
        <v>0</v>
      </c>
      <c r="J27" s="488">
        <f>MIN((F27-H27)*(E27+E35)/2,0)</f>
        <v>-1800364.3781083405</v>
      </c>
      <c r="K27" s="582">
        <f t="shared" ref="K27:K37" si="18">J27/$J$48</f>
        <v>4.2309126649407759E-2</v>
      </c>
      <c r="L27" s="634">
        <f t="shared" ref="L27:L37" si="19">K27*$I$48-I27</f>
        <v>0</v>
      </c>
    </row>
    <row r="28" spans="1:12">
      <c r="A28" s="266"/>
      <c r="B28" s="37" t="str">
        <f>INDEX(ListeMatières,15)</f>
        <v>Bouteilles HDPE</v>
      </c>
      <c r="C28" s="163">
        <f>INDEX(tblMatières[Quantité déclarée précédente],MATCH($B28,tblMatières[Matière],0))</f>
        <v>16609.435000000001</v>
      </c>
      <c r="D28" s="581">
        <f>INDEX(tblMatières[Taux précédent],MATCH($B28,tblMatières[Matière],0))</f>
        <v>159.65</v>
      </c>
      <c r="E28" s="176">
        <f>INDEX(tblMatières[Quantité déclarée (tonnes)],MATCH($B28,tblMatières[Matière],0))</f>
        <v>16585.286</v>
      </c>
      <c r="F28" s="581">
        <f>SUM(Tarif!H29:K29)/Tarif!G29</f>
        <v>163.65280675653273</v>
      </c>
      <c r="G28" s="582">
        <f t="shared" si="15"/>
        <v>2.5072388077248542E-2</v>
      </c>
      <c r="H28" s="303">
        <f t="shared" si="16"/>
        <v>239.47500000000002</v>
      </c>
      <c r="I28" s="591">
        <f t="shared" si="17"/>
        <v>0</v>
      </c>
      <c r="J28" s="488">
        <f t="shared" ref="J28:J37" si="20">MIN((F28-H28)*E28,0)</f>
        <v>-1257532.7600901728</v>
      </c>
      <c r="K28" s="582">
        <f t="shared" si="18"/>
        <v>2.9552413644363215E-2</v>
      </c>
      <c r="L28" s="634">
        <f t="shared" si="19"/>
        <v>0</v>
      </c>
    </row>
    <row r="29" spans="1:12">
      <c r="A29" s="266"/>
      <c r="B29" s="37" t="str">
        <f>INDEX(ListeMatières,16)</f>
        <v>Plastiques stratifiés</v>
      </c>
      <c r="C29" s="163">
        <f>INDEX(tblMatières[Quantité déclarée précédente],MATCH($B29,tblMatières[Matière],0))</f>
        <v>12064.946</v>
      </c>
      <c r="D29" s="581">
        <f>INDEX(tblMatières[Taux précédent],MATCH($B29,tblMatières[Matière],0))</f>
        <v>471.42</v>
      </c>
      <c r="E29" s="176">
        <f>INDEX(tblMatières[Quantité déclarée (tonnes)],MATCH($B29,tblMatières[Matière],0))</f>
        <v>12008.449000000001</v>
      </c>
      <c r="F29" s="581">
        <f>SUM(Tarif!$H$30:$K$32)/SUM(Tarif!$G$30:$G$32)</f>
        <v>488.81588377109034</v>
      </c>
      <c r="G29" s="582">
        <f t="shared" si="15"/>
        <v>3.6901030442260341E-2</v>
      </c>
      <c r="H29" s="303">
        <f t="shared" si="16"/>
        <v>707.13</v>
      </c>
      <c r="I29" s="591">
        <f t="shared" si="17"/>
        <v>0</v>
      </c>
      <c r="J29" s="488">
        <f t="shared" si="20"/>
        <v>-2621613.9307149341</v>
      </c>
      <c r="K29" s="582">
        <f t="shared" si="18"/>
        <v>6.1608748300725998E-2</v>
      </c>
      <c r="L29" s="634">
        <f t="shared" si="19"/>
        <v>0</v>
      </c>
    </row>
    <row r="30" spans="1:12">
      <c r="A30" s="266"/>
      <c r="B30" s="37" t="str">
        <f>INDEX(ListeMatières,17)</f>
        <v>Pellicules HDPE et LDPE</v>
      </c>
      <c r="C30" s="163">
        <f>INDEX(tblMatières[Quantité déclarée précédente],MATCH($B30,tblMatières[Matière],0))</f>
        <v>21920.366999999998</v>
      </c>
      <c r="D30" s="581">
        <f>INDEX(tblMatières[Taux précédent],MATCH($B30,tblMatières[Matière],0))</f>
        <v>471.42</v>
      </c>
      <c r="E30" s="176">
        <f>INDEX(tblMatières[Quantité déclarée (tonnes)],MATCH($B30,tblMatières[Matière],0))</f>
        <v>21835.475999999999</v>
      </c>
      <c r="F30" s="581">
        <f>SUM(Tarif!$H$30:$K$32)/SUM(Tarif!$G$30:$G$32)</f>
        <v>488.81588377109034</v>
      </c>
      <c r="G30" s="582">
        <f t="shared" si="15"/>
        <v>3.6901030442260341E-2</v>
      </c>
      <c r="H30" s="303">
        <f t="shared" si="16"/>
        <v>707.13</v>
      </c>
      <c r="I30" s="591">
        <f t="shared" si="17"/>
        <v>0</v>
      </c>
      <c r="J30" s="488">
        <f t="shared" si="20"/>
        <v>-4766992.645377567</v>
      </c>
      <c r="K30" s="582">
        <f t="shared" si="18"/>
        <v>0.11202581989651979</v>
      </c>
      <c r="L30" s="634">
        <f t="shared" si="19"/>
        <v>0</v>
      </c>
    </row>
    <row r="31" spans="1:12">
      <c r="A31" s="266"/>
      <c r="B31" s="37" t="str">
        <f>INDEX(ListeMatières,18)</f>
        <v>Sacs d'emplettes de pellicules HDPE et LDPE</v>
      </c>
      <c r="C31" s="163">
        <f>INDEX(tblMatières[Quantité déclarée précédente],MATCH($B31,tblMatières[Matière],0))</f>
        <v>9207.6</v>
      </c>
      <c r="D31" s="581">
        <f>INDEX(tblMatières[Taux précédent],MATCH($B31,tblMatières[Matière],0))</f>
        <v>471.42</v>
      </c>
      <c r="E31" s="176">
        <f>INDEX(tblMatières[Quantité déclarée (tonnes)],MATCH($B31,tblMatières[Matière],0))</f>
        <v>9133.4940000000006</v>
      </c>
      <c r="F31" s="581">
        <f>SUM(Tarif!$H$30:$K$32)/SUM(Tarif!$G$30:$G$32)</f>
        <v>488.81588377109034</v>
      </c>
      <c r="G31" s="582">
        <f t="shared" si="15"/>
        <v>3.6901030442260341E-2</v>
      </c>
      <c r="H31" s="303">
        <f t="shared" si="16"/>
        <v>707.13</v>
      </c>
      <c r="I31" s="591">
        <f t="shared" si="17"/>
        <v>0</v>
      </c>
      <c r="J31" s="488">
        <f t="shared" si="20"/>
        <v>-1993970.670692049</v>
      </c>
      <c r="K31" s="582">
        <f t="shared" si="18"/>
        <v>4.6858935150758521E-2</v>
      </c>
      <c r="L31" s="634">
        <f t="shared" si="19"/>
        <v>0</v>
      </c>
    </row>
    <row r="32" spans="1:12">
      <c r="A32" s="266"/>
      <c r="B32" s="37" t="str">
        <f>INDEX(ListeMatières,19)</f>
        <v>Polystyrène expansé alimentaire</v>
      </c>
      <c r="C32" s="163">
        <f>INDEX(tblMatières[Quantité déclarée précédente],MATCH($B32,tblMatières[Matière],0))</f>
        <v>4326.0749999999998</v>
      </c>
      <c r="D32" s="581">
        <f>INDEX(tblMatières[Taux précédent],MATCH($B32,tblMatières[Matière],0))</f>
        <v>750.26</v>
      </c>
      <c r="E32" s="176">
        <f>INDEX(tblMatières[Quantité déclarée (tonnes)],MATCH($B32,tblMatières[Matière],0))</f>
        <v>4325.6270000000004</v>
      </c>
      <c r="F32" s="581">
        <f>SUM(Tarif!H33:K35)/(SUM(Tarif!G33:G35) + Tarif!G37)</f>
        <v>789.76061896855288</v>
      </c>
      <c r="G32" s="582">
        <f t="shared" si="15"/>
        <v>5.2649240221460447E-2</v>
      </c>
      <c r="H32" s="303">
        <f t="shared" si="16"/>
        <v>1125.3899999999999</v>
      </c>
      <c r="I32" s="591">
        <f t="shared" si="17"/>
        <v>0</v>
      </c>
      <c r="J32" s="488">
        <f t="shared" si="20"/>
        <v>-1451807.5125829151</v>
      </c>
      <c r="K32" s="582">
        <f t="shared" si="18"/>
        <v>3.4117931162896985E-2</v>
      </c>
      <c r="L32" s="634">
        <f t="shared" si="19"/>
        <v>0</v>
      </c>
    </row>
    <row r="33" spans="1:12">
      <c r="A33" s="266"/>
      <c r="B33" s="37" t="str">
        <f>INDEX(ListeMatières,20)</f>
        <v>Polystyrène expansé de protection</v>
      </c>
      <c r="C33" s="163">
        <f>INDEX(tblMatières[Quantité déclarée précédente],MATCH($B33,tblMatières[Matière],0))</f>
        <v>1850.1969999999999</v>
      </c>
      <c r="D33" s="581">
        <f>INDEX(tblMatières[Taux précédent],MATCH($B33,tblMatières[Matière],0))</f>
        <v>750.26</v>
      </c>
      <c r="E33" s="176">
        <f>INDEX(tblMatières[Quantité déclarée (tonnes)],MATCH($B33,tblMatières[Matière],0))</f>
        <v>1850.1969999999999</v>
      </c>
      <c r="F33" s="581">
        <f>F32</f>
        <v>789.76061896855288</v>
      </c>
      <c r="G33" s="582">
        <f t="shared" si="15"/>
        <v>5.2649240221460447E-2</v>
      </c>
      <c r="H33" s="303">
        <f t="shared" si="16"/>
        <v>1125.3899999999999</v>
      </c>
      <c r="I33" s="591">
        <f t="shared" si="17"/>
        <v>0</v>
      </c>
      <c r="J33" s="488">
        <f t="shared" si="20"/>
        <v>-620980.47389624012</v>
      </c>
      <c r="K33" s="582">
        <f t="shared" si="18"/>
        <v>1.4593235589614756E-2</v>
      </c>
      <c r="L33" s="634">
        <f t="shared" si="19"/>
        <v>0</v>
      </c>
    </row>
    <row r="34" spans="1:12">
      <c r="A34" s="266"/>
      <c r="B34" s="37" t="str">
        <f>INDEX(ListeMatières,21)</f>
        <v>Polystyrène non expansé</v>
      </c>
      <c r="C34" s="163">
        <f>INDEX(tblMatières[Quantité déclarée précédente],MATCH($B34,tblMatières[Matière],0))</f>
        <v>5060.2809999999999</v>
      </c>
      <c r="D34" s="581">
        <f>INDEX(tblMatières[Taux précédent],MATCH($B34,tblMatières[Matière],0))</f>
        <v>750.26</v>
      </c>
      <c r="E34" s="176">
        <f>INDEX(tblMatières[Quantité déclarée (tonnes)],MATCH($B34,tblMatières[Matière],0))</f>
        <v>4738.9629999999997</v>
      </c>
      <c r="F34" s="581">
        <f>F32</f>
        <v>789.76061896855288</v>
      </c>
      <c r="G34" s="582">
        <f t="shared" si="15"/>
        <v>5.2649240221460447E-2</v>
      </c>
      <c r="H34" s="303">
        <f t="shared" si="16"/>
        <v>1125.3899999999999</v>
      </c>
      <c r="I34" s="591">
        <f t="shared" si="17"/>
        <v>0</v>
      </c>
      <c r="J34" s="488">
        <f t="shared" si="20"/>
        <v>-1590535.218420929</v>
      </c>
      <c r="K34" s="582">
        <f t="shared" si="18"/>
        <v>3.7378075691111547E-2</v>
      </c>
      <c r="L34" s="634">
        <f t="shared" si="19"/>
        <v>0</v>
      </c>
    </row>
    <row r="35" spans="1:12">
      <c r="A35" s="266"/>
      <c r="B35" s="37" t="str">
        <f>INDEX(ListeMatières,22)</f>
        <v>Contenants de PET</v>
      </c>
      <c r="C35" s="163">
        <f>INDEX(tblMatières[Quantité déclarée précédente],MATCH($B35,tblMatières[Matière],0))</f>
        <v>7067.826</v>
      </c>
      <c r="D35" s="581">
        <f>INDEX(tblMatières[Taux précédent],MATCH($B35,tblMatières[Matière],0))</f>
        <v>262.35000000000002</v>
      </c>
      <c r="E35" s="176">
        <f>INDEX(tblMatières[Quantité déclarée (tonnes)],MATCH($B35,tblMatières[Matière],0))</f>
        <v>7338.1760000000004</v>
      </c>
      <c r="F35" s="581">
        <f>SUM(Tarif!$H$28:$K$28)/(Tarif!$G$28+Tarif!$G$36)</f>
        <v>276.10759755348789</v>
      </c>
      <c r="G35" s="582">
        <f t="shared" si="15"/>
        <v>5.2439861076759575E-2</v>
      </c>
      <c r="H35" s="303">
        <f t="shared" si="16"/>
        <v>393.52500000000003</v>
      </c>
      <c r="I35" s="591">
        <f t="shared" si="17"/>
        <v>0</v>
      </c>
      <c r="J35" s="488">
        <f>MIN((F35-H35)*(E27+E35)/2,0)</f>
        <v>-1800364.3781083405</v>
      </c>
      <c r="K35" s="582">
        <f t="shared" si="18"/>
        <v>4.2309126649407759E-2</v>
      </c>
      <c r="L35" s="634">
        <f t="shared" si="19"/>
        <v>0</v>
      </c>
    </row>
    <row r="36" spans="1:12">
      <c r="A36" s="266"/>
      <c r="B36" s="37" t="str">
        <f>INDEX(ListeMatières,23)</f>
        <v>Acide polylactique (PLA) et autres plastiques dégradables</v>
      </c>
      <c r="C36" s="163">
        <f>INDEX(tblMatières[Quantité déclarée précédente],MATCH($B36,tblMatières[Matière],0))</f>
        <v>88.733999999999995</v>
      </c>
      <c r="D36" s="581">
        <f>INDEX(tblMatières[Taux précédent],MATCH($B36,tblMatières[Matière],0))</f>
        <v>750.26</v>
      </c>
      <c r="E36" s="176">
        <f>INDEX(tblMatières[Quantité déclarée (tonnes)],MATCH($B36,tblMatières[Matière],0))</f>
        <v>82.570999999999998</v>
      </c>
      <c r="F36" s="581">
        <f>F34</f>
        <v>789.76061896855288</v>
      </c>
      <c r="G36" s="582">
        <f t="shared" si="15"/>
        <v>5.2649240221460447E-2</v>
      </c>
      <c r="H36" s="303">
        <f t="shared" si="16"/>
        <v>1125.3899999999999</v>
      </c>
      <c r="I36" s="591">
        <f t="shared" si="17"/>
        <v>0</v>
      </c>
      <c r="J36" s="488">
        <f t="shared" si="20"/>
        <v>-27713.253621147611</v>
      </c>
      <c r="K36" s="582">
        <f t="shared" si="18"/>
        <v>6.5127013819073318E-4</v>
      </c>
      <c r="L36" s="634">
        <f t="shared" si="19"/>
        <v>0</v>
      </c>
    </row>
    <row r="37" spans="1:12">
      <c r="A37" s="266"/>
      <c r="B37" s="37" t="str">
        <f>INDEX(ListeMatières,24)</f>
        <v>Autres plastiques, polymères et polyuréthanne</v>
      </c>
      <c r="C37" s="163">
        <f>INDEX(tblMatières[Quantité déclarée précédente],MATCH($B37,tblMatières[Matière],0))</f>
        <v>33319.733</v>
      </c>
      <c r="D37" s="581">
        <f>INDEX(tblMatières[Taux précédent],MATCH($B37,tblMatières[Matière],0))</f>
        <v>302.22000000000003</v>
      </c>
      <c r="E37" s="176">
        <f>INDEX(tblMatières[Quantité déclarée (tonnes)],MATCH($B37,tblMatières[Matière],0))</f>
        <v>33170.372000000003</v>
      </c>
      <c r="F37" s="581">
        <f>SUM(Tarif!H38:K38)/Tarif!G38</f>
        <v>316.11030843206174</v>
      </c>
      <c r="G37" s="582">
        <f t="shared" si="15"/>
        <v>4.5960917318713879E-2</v>
      </c>
      <c r="H37" s="303">
        <f t="shared" si="16"/>
        <v>453.33000000000004</v>
      </c>
      <c r="I37" s="591">
        <f t="shared" si="17"/>
        <v>0</v>
      </c>
      <c r="J37" s="488">
        <f t="shared" si="20"/>
        <v>-4551628.2150337771</v>
      </c>
      <c r="K37" s="582">
        <f t="shared" si="18"/>
        <v>0.10696468834449091</v>
      </c>
      <c r="L37" s="634">
        <f t="shared" si="19"/>
        <v>0</v>
      </c>
    </row>
    <row r="38" spans="1:12">
      <c r="A38" s="43" t="str">
        <f>'Sommaire exécutif'!A37</f>
        <v>Plastique TOTAL</v>
      </c>
      <c r="B38" s="10"/>
      <c r="C38" s="22">
        <f t="shared" ref="C38:E38" si="21">SUBTOTAL(9,C27:C37)</f>
        <v>134691.93799999999</v>
      </c>
      <c r="D38" s="22"/>
      <c r="E38" s="22">
        <f t="shared" si="21"/>
        <v>134396.49200000003</v>
      </c>
      <c r="F38" s="22"/>
      <c r="G38" s="306"/>
      <c r="H38" s="306"/>
      <c r="I38" s="629">
        <f t="shared" ref="I38:K38" si="22">SUBTOTAL(9,I27:I37)</f>
        <v>0</v>
      </c>
      <c r="J38" s="588">
        <f t="shared" si="22"/>
        <v>-22483503.436646409</v>
      </c>
      <c r="K38" s="89">
        <f t="shared" si="22"/>
        <v>0.52836937121748795</v>
      </c>
      <c r="L38" s="588">
        <f t="shared" ref="L38" si="23">SUBTOTAL(9,L27:L37)</f>
        <v>0</v>
      </c>
    </row>
    <row r="39" spans="1:12">
      <c r="A39" s="46" t="str">
        <f>'Sommaire exécutif'!A38</f>
        <v>Aluminium</v>
      </c>
      <c r="B39" s="37" t="str">
        <f>INDEX(ListeMatières,25)</f>
        <v>Contenants pour aliments et breuvages en aluminium</v>
      </c>
      <c r="C39" s="163">
        <f>INDEX(tblMatières[Quantité déclarée précédente],MATCH($B39,tblMatières[Matière],0))</f>
        <v>2927.57</v>
      </c>
      <c r="D39" s="581">
        <f>INDEX(tblMatières[Taux précédent],MATCH($B39,tblMatières[Matière],0))</f>
        <v>127.46</v>
      </c>
      <c r="E39" s="176">
        <f>INDEX(tblMatières[Quantité déclarée (tonnes)],MATCH($B39,tblMatières[Matière],0))</f>
        <v>2927.57</v>
      </c>
      <c r="F39" s="581">
        <f>SUM(Tarif!H40:K41)/SUM(Tarif!G40:G41)</f>
        <v>129.62256411791449</v>
      </c>
      <c r="G39" s="582">
        <f>F39/D39-1</f>
        <v>1.6966610057386644E-2</v>
      </c>
      <c r="H39" s="303">
        <f>D39*(1+LimiteHausse)</f>
        <v>191.19</v>
      </c>
      <c r="I39" s="591">
        <f t="shared" ref="I39:I40" si="24">MAX((F39-H39)*E39,0)</f>
        <v>0</v>
      </c>
      <c r="J39" s="488">
        <f t="shared" ref="J39:J40" si="25">MIN((F39-H39)*E39,0)</f>
        <v>-180242.97826531707</v>
      </c>
      <c r="K39" s="582">
        <f t="shared" ref="K39:K40" si="26">J39/$J$48</f>
        <v>4.2357664302969476E-3</v>
      </c>
      <c r="L39" s="634">
        <f t="shared" ref="L39:L40" si="27">K39*$I$48-I39</f>
        <v>0</v>
      </c>
    </row>
    <row r="40" spans="1:12">
      <c r="A40" s="46"/>
      <c r="B40" s="37" t="str">
        <f>INDEX(ListeMatières,26)</f>
        <v>Autres contenants et emballages en aluminium</v>
      </c>
      <c r="C40" s="163">
        <f>INDEX(tblMatières[Quantité déclarée précédente],MATCH($B40,tblMatières[Matière],0))</f>
        <v>2080.9479999999999</v>
      </c>
      <c r="D40" s="581">
        <f>INDEX(tblMatières[Taux précédent],MATCH($B40,tblMatières[Matière],0))</f>
        <v>127.46</v>
      </c>
      <c r="E40" s="176">
        <f>INDEX(tblMatières[Quantité déclarée (tonnes)],MATCH($B40,tblMatières[Matière],0))</f>
        <v>2080.3110000000001</v>
      </c>
      <c r="F40" s="581">
        <f>F39</f>
        <v>129.62256411791449</v>
      </c>
      <c r="G40" s="582">
        <f>F40/D40-1</f>
        <v>1.6966610057386644E-2</v>
      </c>
      <c r="H40" s="303">
        <f>D40*(1+LimiteHausse)</f>
        <v>191.19</v>
      </c>
      <c r="I40" s="591">
        <f t="shared" si="24"/>
        <v>0</v>
      </c>
      <c r="J40" s="488">
        <f t="shared" si="25"/>
        <v>-128079.41410729718</v>
      </c>
      <c r="K40" s="582">
        <f t="shared" si="26"/>
        <v>3.0099063381498897E-3</v>
      </c>
      <c r="L40" s="634">
        <f t="shared" si="27"/>
        <v>0</v>
      </c>
    </row>
    <row r="41" spans="1:12">
      <c r="A41" s="43" t="str">
        <f>'Sommaire exécutif'!A40</f>
        <v>Aluminium TOTAL</v>
      </c>
      <c r="B41" s="10"/>
      <c r="C41" s="22">
        <f>SUBTOTAL(9,C39:C40)</f>
        <v>5008.518</v>
      </c>
      <c r="D41" s="22"/>
      <c r="E41" s="22">
        <f>SUBTOTAL(9,E39:E40)</f>
        <v>5007.8810000000003</v>
      </c>
      <c r="F41" s="22"/>
      <c r="G41" s="306"/>
      <c r="H41" s="306"/>
      <c r="I41" s="629">
        <f>SUBTOTAL(9,I39:I40)</f>
        <v>0</v>
      </c>
      <c r="J41" s="588">
        <f>SUBTOTAL(9,J39:J40)</f>
        <v>-308322.39237261424</v>
      </c>
      <c r="K41" s="89">
        <f>SUBTOTAL(9,K39:K40)</f>
        <v>7.2456727684468373E-3</v>
      </c>
      <c r="L41" s="588">
        <f>SUBTOTAL(9,L39:L40)</f>
        <v>0</v>
      </c>
    </row>
    <row r="42" spans="1:12">
      <c r="A42" s="46" t="str">
        <f>'Sommaire exécutif'!A41</f>
        <v>Acier</v>
      </c>
      <c r="B42" s="37" t="str">
        <f>INDEX(ListeMatières,27)</f>
        <v>Bombes aérosol en acier</v>
      </c>
      <c r="C42" s="163">
        <f>INDEX(tblMatières[Quantité déclarée précédente],MATCH($B42,tblMatières[Matière],0))</f>
        <v>1674.4069999999999</v>
      </c>
      <c r="D42" s="581">
        <f>INDEX(tblMatières[Taux précédent],MATCH($B42,tblMatières[Matière],0))</f>
        <v>144.21</v>
      </c>
      <c r="E42" s="176">
        <f>INDEX(tblMatières[Quantité déclarée (tonnes)],MATCH($B42,tblMatières[Matière],0))</f>
        <v>1674.335</v>
      </c>
      <c r="F42" s="581">
        <f>SUM(Tarif!H43:K44)/SUM(Tarif!G43:G44)</f>
        <v>161.63965303467523</v>
      </c>
      <c r="G42" s="582">
        <f>F42/D42-1</f>
        <v>0.12086299864555317</v>
      </c>
      <c r="H42" s="303">
        <f>D42*(1+LimiteHausse)</f>
        <v>216.315</v>
      </c>
      <c r="I42" s="591">
        <f t="shared" ref="I42:I43" si="28">MAX((F42-H42)*E42,0)</f>
        <v>0</v>
      </c>
      <c r="J42" s="488">
        <f t="shared" ref="J42:J43" si="29">MIN((F42-H42)*E42,0)</f>
        <v>-91544.847061187043</v>
      </c>
      <c r="K42" s="582">
        <f t="shared" ref="K42:K43" si="30">J42/$J$48</f>
        <v>2.151332572177425E-3</v>
      </c>
      <c r="L42" s="634">
        <f t="shared" ref="L42:L43" si="31">K42*$I$48-I42</f>
        <v>0</v>
      </c>
    </row>
    <row r="43" spans="1:12">
      <c r="A43" s="46"/>
      <c r="B43" s="37" t="str">
        <f>INDEX(ListeMatières,28)</f>
        <v>Autres contenants en acier</v>
      </c>
      <c r="C43" s="163">
        <f>INDEX(tblMatières[Quantité déclarée précédente],MATCH($B43,tblMatières[Matière],0))</f>
        <v>26909.557000000001</v>
      </c>
      <c r="D43" s="581">
        <f>INDEX(tblMatières[Taux précédent],MATCH($B43,tblMatières[Matière],0))</f>
        <v>144.21</v>
      </c>
      <c r="E43" s="176">
        <f>INDEX(tblMatières[Quantité déclarée (tonnes)],MATCH($B43,tblMatières[Matière],0))</f>
        <v>26835.954000000002</v>
      </c>
      <c r="F43" s="581">
        <f>F42</f>
        <v>161.63965303467523</v>
      </c>
      <c r="G43" s="582">
        <f>F43/D43-1</f>
        <v>0.12086299864555317</v>
      </c>
      <c r="H43" s="303">
        <f>D43*(1+LimiteHausse)</f>
        <v>216.315</v>
      </c>
      <c r="I43" s="591">
        <f t="shared" si="28"/>
        <v>0</v>
      </c>
      <c r="J43" s="488">
        <f t="shared" si="29"/>
        <v>-1467265.0960954949</v>
      </c>
      <c r="K43" s="582">
        <f t="shared" si="30"/>
        <v>3.448118921581108E-2</v>
      </c>
      <c r="L43" s="634">
        <f t="shared" si="31"/>
        <v>0</v>
      </c>
    </row>
    <row r="44" spans="1:12">
      <c r="A44" s="43" t="str">
        <f>'Sommaire exécutif'!A43</f>
        <v>Acier TOTAL</v>
      </c>
      <c r="B44" s="10"/>
      <c r="C44" s="22">
        <f t="shared" ref="C44:E44" si="32">SUBTOTAL(9,C42:C43)</f>
        <v>28583.964</v>
      </c>
      <c r="D44" s="22"/>
      <c r="E44" s="22">
        <f t="shared" si="32"/>
        <v>28510.289000000001</v>
      </c>
      <c r="F44" s="22"/>
      <c r="G44" s="306"/>
      <c r="H44" s="306"/>
      <c r="I44" s="629">
        <f t="shared" ref="I44:K44" si="33">SUBTOTAL(9,I42:I43)</f>
        <v>0</v>
      </c>
      <c r="J44" s="588">
        <f t="shared" si="33"/>
        <v>-1558809.943156682</v>
      </c>
      <c r="K44" s="89">
        <f t="shared" si="33"/>
        <v>3.6632521787988502E-2</v>
      </c>
      <c r="L44" s="588">
        <f t="shared" ref="L44" si="34">SUBTOTAL(9,L42:L43)</f>
        <v>0</v>
      </c>
    </row>
    <row r="45" spans="1:12">
      <c r="A45" s="46" t="str">
        <f>'Sommaire exécutif'!A44</f>
        <v>Verre</v>
      </c>
      <c r="B45" s="37" t="str">
        <f>INDEX(ListeMatières,29)</f>
        <v>Verre clair</v>
      </c>
      <c r="C45" s="163">
        <f>INDEX(tblMatières[Quantité déclarée précédente],MATCH($B45,tblMatières[Matière],0))</f>
        <v>54262.898999999998</v>
      </c>
      <c r="D45" s="581">
        <f>INDEX(tblMatières[Taux précédent],MATCH($B45,tblMatières[Matière],0))</f>
        <v>145.66999999999999</v>
      </c>
      <c r="E45" s="176">
        <f>INDEX(tblMatières[Quantité déclarée (tonnes)],MATCH($B45,tblMatières[Matière],0))</f>
        <v>52387.877</v>
      </c>
      <c r="F45" s="581">
        <f>SUM(Tarif!H46:K46)/Tarif!G46</f>
        <v>192.10995432045283</v>
      </c>
      <c r="G45" s="582">
        <f>F45/D45-1</f>
        <v>0.31880245980952049</v>
      </c>
      <c r="H45" s="303">
        <f>D45*(1+LimiteHausse)</f>
        <v>218.505</v>
      </c>
      <c r="I45" s="591">
        <f t="shared" ref="I45:I46" si="35">MAX((F45-H45)*E45,0)</f>
        <v>0</v>
      </c>
      <c r="J45" s="488">
        <f t="shared" ref="J45:J46" si="36">MIN((F45-H45)*E45,0)</f>
        <v>-1382780.4064694983</v>
      </c>
      <c r="K45" s="582">
        <f t="shared" ref="K45:K46" si="37">J45/$J$48</f>
        <v>3.249577255416955E-2</v>
      </c>
      <c r="L45" s="634">
        <f t="shared" ref="L45:L46" si="38">K45*$I$48-I45</f>
        <v>0</v>
      </c>
    </row>
    <row r="46" spans="1:12">
      <c r="A46" s="46"/>
      <c r="B46" s="242" t="str">
        <f>INDEX(ListeMatières,30)</f>
        <v>Verre coloré</v>
      </c>
      <c r="C46" s="163">
        <f>INDEX(tblMatières[Quantité déclarée précédente],MATCH($B46,tblMatières[Matière],0))</f>
        <v>82425.142000000007</v>
      </c>
      <c r="D46" s="581">
        <f>INDEX(tblMatières[Taux précédent],MATCH($B46,tblMatières[Matière],0))</f>
        <v>141.61000000000001</v>
      </c>
      <c r="E46" s="176">
        <f>INDEX(tblMatières[Quantité déclarée (tonnes)],MATCH($B46,tblMatières[Matière],0))</f>
        <v>80574.570000000007</v>
      </c>
      <c r="F46" s="581">
        <f>SUM(Tarif!H47:K47)/Tarif!G47</f>
        <v>192.91121548453287</v>
      </c>
      <c r="G46" s="582">
        <f>F46/D46-1</f>
        <v>0.36227113540380529</v>
      </c>
      <c r="H46" s="303">
        <f>D46*(1+LimiteHausse)</f>
        <v>212.41500000000002</v>
      </c>
      <c r="I46" s="591">
        <f t="shared" si="35"/>
        <v>0</v>
      </c>
      <c r="J46" s="488">
        <f t="shared" si="36"/>
        <v>-1571509.0507064238</v>
      </c>
      <c r="K46" s="582">
        <f t="shared" si="37"/>
        <v>3.6930954791990184E-2</v>
      </c>
      <c r="L46" s="634">
        <f t="shared" si="38"/>
        <v>0</v>
      </c>
    </row>
    <row r="47" spans="1:12">
      <c r="A47" s="43" t="str">
        <f>'Sommaire exécutif'!A46</f>
        <v>Verre TOTAL</v>
      </c>
      <c r="B47" s="10"/>
      <c r="C47" s="167">
        <f t="shared" ref="C47:E47" si="39">SUBTOTAL(9,C45:C46)</f>
        <v>136688.041</v>
      </c>
      <c r="D47" s="22"/>
      <c r="E47" s="22">
        <f t="shared" si="39"/>
        <v>132962.44700000001</v>
      </c>
      <c r="F47" s="632"/>
      <c r="G47" s="306"/>
      <c r="H47" s="306"/>
      <c r="I47" s="629">
        <f t="shared" ref="I47:J47" si="40">SUBTOTAL(9,I45:I46)</f>
        <v>0</v>
      </c>
      <c r="J47" s="588">
        <f t="shared" si="40"/>
        <v>-2954289.4571759221</v>
      </c>
      <c r="K47" s="89">
        <f t="shared" ref="K47:L47" si="41">SUBTOTAL(9,K45:K46)</f>
        <v>6.9426727346159733E-2</v>
      </c>
      <c r="L47" s="588">
        <f t="shared" si="41"/>
        <v>0</v>
      </c>
    </row>
    <row r="48" spans="1:12" ht="15" thickBot="1">
      <c r="A48" s="56" t="str">
        <f>'Sommaire exécutif'!A47</f>
        <v>CONTENANTS ET EMBALLAGES TOTAL</v>
      </c>
      <c r="B48" s="23"/>
      <c r="C48" s="579">
        <f>SUBTOTAL(9,C19:C47)</f>
        <v>483750.19400000002</v>
      </c>
      <c r="D48" s="21"/>
      <c r="E48" s="21">
        <f>SUBTOTAL(9,E19:E47)</f>
        <v>479048.94300000003</v>
      </c>
      <c r="F48" s="633"/>
      <c r="G48" s="307"/>
      <c r="H48" s="307"/>
      <c r="I48" s="630">
        <f>SUBTOTAL(9,I19:I47)</f>
        <v>0</v>
      </c>
      <c r="J48" s="589">
        <f>SUBTOTAL(9,J19:J47)</f>
        <v>-42552624.473366246</v>
      </c>
      <c r="K48" s="183">
        <f>SUBTOTAL(9,K19:K47)</f>
        <v>1.0000000000000002</v>
      </c>
      <c r="L48" s="589">
        <f>SUBTOTAL(9,L19:L47)</f>
        <v>0</v>
      </c>
    </row>
    <row r="49" spans="1:12" ht="8.25" customHeight="1">
      <c r="A49" s="266"/>
      <c r="B49" s="35"/>
      <c r="C49" s="116"/>
      <c r="D49" s="144"/>
      <c r="E49" s="144"/>
      <c r="F49" s="37"/>
      <c r="G49" s="303"/>
      <c r="H49" s="303"/>
      <c r="I49" s="303"/>
      <c r="J49" s="303"/>
      <c r="K49" s="17"/>
      <c r="L49" s="303"/>
    </row>
    <row r="50" spans="1:12" ht="15" thickBot="1">
      <c r="A50" s="57" t="str">
        <f>'Sommaire exécutif'!A49</f>
        <v>TOTAL</v>
      </c>
      <c r="B50" s="14"/>
      <c r="C50" s="168">
        <f>SUBTOTAL(9,C10:C48)</f>
        <v>644994.44999999995</v>
      </c>
      <c r="D50" s="220"/>
      <c r="E50" s="220">
        <f>SUBTOTAL(9,E10:E48)</f>
        <v>637067.77300000004</v>
      </c>
      <c r="F50" s="25"/>
      <c r="G50" s="309"/>
      <c r="H50" s="309"/>
      <c r="I50" s="631">
        <f>SUBTOTAL(9,I10:I48)</f>
        <v>0</v>
      </c>
      <c r="J50" s="587">
        <f>SUBTOTAL(9,J10:J48)</f>
        <v>-55317586.953595154</v>
      </c>
      <c r="K50" s="244"/>
      <c r="L50" s="587">
        <f>SUBTOTAL(9,L10:L48)</f>
        <v>0</v>
      </c>
    </row>
    <row r="51" spans="1:12" ht="15" thickTop="1"/>
  </sheetData>
  <sheetProtection password="82A0" sheet="1" objects="1" scenarios="1"/>
  <mergeCells count="1">
    <mergeCell ref="C6:L6"/>
  </mergeCells>
  <pageMargins left="0.7" right="0.7" top="0.75" bottom="0.75" header="0.3" footer="0.3"/>
  <pageSetup scale="5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1:K52"/>
  <sheetViews>
    <sheetView showGridLines="0" zoomScale="80" zoomScaleNormal="80" zoomScaleSheetLayoutView="90" workbookViewId="0">
      <pane xSplit="3" ySplit="5" topLeftCell="D6" activePane="bottomRight" state="frozen"/>
      <selection activeCell="C18" sqref="C18"/>
      <selection pane="topRight" activeCell="C18" sqref="C18"/>
      <selection pane="bottomLeft" activeCell="C18" sqref="C18"/>
      <selection pane="bottomRight" activeCell="B36" sqref="B36"/>
    </sheetView>
  </sheetViews>
  <sheetFormatPr baseColWidth="10" defaultColWidth="9.109375" defaultRowHeight="13.8"/>
  <cols>
    <col min="1" max="1" width="1.44140625" style="35" customWidth="1"/>
    <col min="2" max="2" width="18.33203125" style="232" customWidth="1"/>
    <col min="3" max="3" width="50.44140625" style="232" customWidth="1"/>
    <col min="4" max="4" width="17.6640625" style="35" customWidth="1"/>
    <col min="5" max="5" width="13.5546875" style="35" customWidth="1"/>
    <col min="6" max="6" width="7.88671875" style="35" customWidth="1"/>
    <col min="7" max="7" width="19.44140625" style="35" bestFit="1" customWidth="1"/>
    <col min="8" max="8" width="21.88671875" style="35" bestFit="1" customWidth="1"/>
    <col min="9" max="11" width="21.88671875" style="35" customWidth="1"/>
    <col min="12" max="16384" width="9.109375" style="35"/>
  </cols>
  <sheetData>
    <row r="1" spans="2:11" s="37" customFormat="1" ht="14.4" thickBot="1">
      <c r="B1" s="243" t="s">
        <v>6</v>
      </c>
      <c r="C1" s="231"/>
      <c r="D1" s="36"/>
      <c r="E1" s="36"/>
      <c r="F1" s="36"/>
      <c r="G1" s="36"/>
      <c r="H1" s="36"/>
      <c r="I1" s="36"/>
      <c r="J1" s="36"/>
      <c r="K1" s="36"/>
    </row>
    <row r="3" spans="2:11" ht="27" customHeight="1">
      <c r="B3" s="646" t="s">
        <v>118</v>
      </c>
      <c r="C3" s="647"/>
      <c r="D3" s="647"/>
      <c r="E3" s="647"/>
      <c r="F3" s="647"/>
      <c r="G3" s="647"/>
      <c r="H3" s="647"/>
      <c r="I3" s="647"/>
      <c r="J3" s="647"/>
      <c r="K3" s="647"/>
    </row>
    <row r="4" spans="2:11" s="257" customFormat="1" ht="27.6">
      <c r="B4" s="254" t="str">
        <f>'Sommaire exécutif'!A7</f>
        <v>CATÉGORIE</v>
      </c>
      <c r="C4" s="254" t="str">
        <f>'Sommaire exécutif'!B7</f>
        <v>Matière</v>
      </c>
      <c r="D4" s="255" t="s">
        <v>48</v>
      </c>
      <c r="E4" s="660" t="s">
        <v>117</v>
      </c>
      <c r="F4" s="661"/>
      <c r="G4" s="662"/>
      <c r="H4" s="256" t="str">
        <f>'Sommaire exécutif'!C7</f>
        <v>Quantité déclarée 
(tonnes)</v>
      </c>
      <c r="I4" s="572" t="s">
        <v>211</v>
      </c>
      <c r="J4" s="572" t="s">
        <v>212</v>
      </c>
      <c r="K4" s="572" t="s">
        <v>213</v>
      </c>
    </row>
    <row r="5" spans="2:11" ht="16.2">
      <c r="B5" s="233" t="str">
        <f>'Sommaire exécutif'!A8</f>
        <v>IMPRIMÉS</v>
      </c>
      <c r="C5" s="233"/>
      <c r="D5" s="10"/>
      <c r="E5" s="84" t="s">
        <v>51</v>
      </c>
      <c r="F5" s="82" t="s">
        <v>227</v>
      </c>
      <c r="G5" s="85" t="s">
        <v>52</v>
      </c>
      <c r="H5" s="82"/>
      <c r="I5" s="82"/>
      <c r="J5" s="82"/>
      <c r="K5" s="82"/>
    </row>
    <row r="6" spans="2:11">
      <c r="B6" s="238"/>
      <c r="C6" s="37" t="str">
        <f>INDEX(ListeMatières,1)</f>
        <v>Encarts et circulaires imprimés sur du papier journal</v>
      </c>
      <c r="D6" s="414" t="s">
        <v>49</v>
      </c>
      <c r="E6" s="292">
        <f t="shared" ref="E6:E11" si="0">TonnageCrédit</f>
        <v>0.15</v>
      </c>
      <c r="F6" s="415">
        <v>7.4999999999999997E-2</v>
      </c>
      <c r="G6" s="299">
        <f>IF(D6 = $B$52,IF(F6="",E6,F6),0)</f>
        <v>7.4999999999999997E-2</v>
      </c>
      <c r="H6" s="144">
        <f>INDEX(tblMatières[Quantité déclarée (tonnes)],MATCH($C6,tblMatières[Matière],0))</f>
        <v>97857.077999999994</v>
      </c>
      <c r="I6" s="574">
        <f>SUM(Tarif!H11:L11)/'Crédit contenu recyclé'!H6</f>
        <v>171.75228874422513</v>
      </c>
      <c r="J6" s="574">
        <f t="shared" ref="J6:J11" si="1">I6 / (1 - G6 * RabaisCrédit)</f>
        <v>174.36780583170065</v>
      </c>
      <c r="K6" s="635">
        <f>(J6-I6)*H6</f>
        <v>255946.85963942518</v>
      </c>
    </row>
    <row r="7" spans="2:11">
      <c r="B7" s="238"/>
      <c r="C7" s="37" t="str">
        <f>INDEX(ListeMatières,2)</f>
        <v>Catalogues et publications</v>
      </c>
      <c r="D7" s="414" t="s">
        <v>49</v>
      </c>
      <c r="E7" s="292">
        <f t="shared" si="0"/>
        <v>0.15</v>
      </c>
      <c r="F7" s="415">
        <v>7.4999999999999997E-2</v>
      </c>
      <c r="G7" s="299">
        <f t="shared" ref="G7:G11" si="2">IF(D7 = $B$52,IF(F7="",E7,F7),0)</f>
        <v>7.4999999999999997E-2</v>
      </c>
      <c r="H7" s="144">
        <f>INDEX(tblMatières[Quantité déclarée (tonnes)],MATCH($C7,tblMatières[Matière],0))</f>
        <v>16849.689999999999</v>
      </c>
      <c r="I7" s="574">
        <f>SUM(Tarif!$H$12:$L$16)/SUM(Tarif!$G$12:$G$16)</f>
        <v>249.19558777159503</v>
      </c>
      <c r="J7" s="574">
        <f t="shared" si="1"/>
        <v>252.99044443816754</v>
      </c>
      <c r="K7" s="635">
        <f t="shared" ref="K7:K11" si="3">(J7-I7)*H7</f>
        <v>63942.158426180213</v>
      </c>
    </row>
    <row r="8" spans="2:11">
      <c r="B8" s="238"/>
      <c r="C8" s="37" t="str">
        <f>INDEX(ListeMatières,3)</f>
        <v>Magazines</v>
      </c>
      <c r="D8" s="414" t="s">
        <v>49</v>
      </c>
      <c r="E8" s="292">
        <f t="shared" si="0"/>
        <v>0.15</v>
      </c>
      <c r="F8" s="415">
        <v>7.4999999999999997E-2</v>
      </c>
      <c r="G8" s="299">
        <f t="shared" si="2"/>
        <v>7.4999999999999997E-2</v>
      </c>
      <c r="H8" s="144">
        <f>INDEX(tblMatières[Quantité déclarée (tonnes)],MATCH($C8,tblMatières[Matière],0))</f>
        <v>10816.571</v>
      </c>
      <c r="I8" s="574">
        <f>I7</f>
        <v>249.19558777159503</v>
      </c>
      <c r="J8" s="574">
        <f t="shared" si="1"/>
        <v>252.99044443816754</v>
      </c>
      <c r="K8" s="635">
        <f t="shared" si="3"/>
        <v>41047.336568804923</v>
      </c>
    </row>
    <row r="9" spans="2:11">
      <c r="B9" s="238"/>
      <c r="C9" s="37" t="str">
        <f>INDEX(ListeMatières,4)</f>
        <v>Annuaires téléphoniques</v>
      </c>
      <c r="D9" s="414" t="s">
        <v>49</v>
      </c>
      <c r="E9" s="292">
        <f t="shared" si="0"/>
        <v>0.15</v>
      </c>
      <c r="F9" s="415">
        <v>7.4999999999999997E-2</v>
      </c>
      <c r="G9" s="299">
        <f t="shared" si="2"/>
        <v>7.4999999999999997E-2</v>
      </c>
      <c r="H9" s="144">
        <f>INDEX(tblMatières[Quantité déclarée (tonnes)],MATCH($C9,tblMatières[Matière],0))</f>
        <v>1956.9110000000001</v>
      </c>
      <c r="I9" s="574">
        <f>I8</f>
        <v>249.19558777159503</v>
      </c>
      <c r="J9" s="574">
        <f t="shared" si="1"/>
        <v>252.99044443816754</v>
      </c>
      <c r="K9" s="635">
        <f t="shared" si="3"/>
        <v>7426.1967542390848</v>
      </c>
    </row>
    <row r="10" spans="2:11">
      <c r="B10" s="238"/>
      <c r="C10" s="37" t="str">
        <f>INDEX(ListeMatières,5)</f>
        <v>Papier à usage général</v>
      </c>
      <c r="D10" s="414" t="s">
        <v>49</v>
      </c>
      <c r="E10" s="292">
        <f t="shared" si="0"/>
        <v>0.15</v>
      </c>
      <c r="F10" s="415">
        <v>7.4999999999999997E-2</v>
      </c>
      <c r="G10" s="299">
        <f t="shared" si="2"/>
        <v>7.4999999999999997E-2</v>
      </c>
      <c r="H10" s="144">
        <f>INDEX(tblMatières[Quantité déclarée (tonnes)],MATCH($C10,tblMatières[Matière],0))</f>
        <v>4514.6930000000002</v>
      </c>
      <c r="I10" s="574">
        <f>I9</f>
        <v>249.19558777159503</v>
      </c>
      <c r="J10" s="574">
        <f t="shared" si="1"/>
        <v>252.99044443816754</v>
      </c>
      <c r="K10" s="635">
        <f t="shared" si="3"/>
        <v>17132.612828578262</v>
      </c>
    </row>
    <row r="11" spans="2:11">
      <c r="B11" s="238"/>
      <c r="C11" s="37" t="str">
        <f>INDEX(ListeMatières,6)</f>
        <v>Autres imprimés</v>
      </c>
      <c r="D11" s="414" t="s">
        <v>49</v>
      </c>
      <c r="E11" s="292">
        <f t="shared" si="0"/>
        <v>0.15</v>
      </c>
      <c r="F11" s="415">
        <v>7.4999999999999997E-2</v>
      </c>
      <c r="G11" s="299">
        <f t="shared" si="2"/>
        <v>7.4999999999999997E-2</v>
      </c>
      <c r="H11" s="144">
        <f>INDEX(tblMatières[Quantité déclarée (tonnes)],MATCH($C11,tblMatières[Matière],0))</f>
        <v>26023.886999999999</v>
      </c>
      <c r="I11" s="574">
        <f>I10</f>
        <v>249.19558777159503</v>
      </c>
      <c r="J11" s="574">
        <f t="shared" si="1"/>
        <v>252.99044443816754</v>
      </c>
      <c r="K11" s="635">
        <f t="shared" si="3"/>
        <v>98756.921072079771</v>
      </c>
    </row>
    <row r="12" spans="2:11" ht="14.4" thickBot="1">
      <c r="B12" s="234" t="str">
        <f>'Sommaire exécutif'!A15</f>
        <v>IMPRIMÉS TOTAL</v>
      </c>
      <c r="C12" s="234"/>
      <c r="D12" s="20"/>
      <c r="E12" s="293"/>
      <c r="F12" s="294"/>
      <c r="G12" s="300"/>
      <c r="H12" s="21">
        <f>SUBTOTAL(9,H6:H11)</f>
        <v>158018.82999999999</v>
      </c>
      <c r="I12" s="21"/>
      <c r="J12" s="21"/>
      <c r="K12" s="592">
        <f>SUBTOTAL(9,K6:K11)</f>
        <v>484252.0852893074</v>
      </c>
    </row>
    <row r="13" spans="2:11">
      <c r="B13" s="238"/>
      <c r="C13" s="238"/>
      <c r="D13" s="66"/>
      <c r="E13" s="292"/>
      <c r="F13" s="295"/>
      <c r="G13" s="301"/>
      <c r="H13" s="144"/>
      <c r="I13" s="144"/>
      <c r="J13" s="144"/>
      <c r="K13" s="593"/>
    </row>
    <row r="14" spans="2:11">
      <c r="B14" s="233" t="str">
        <f>'Sommaire exécutif'!A17</f>
        <v>CONTENANTS ET EMBALLAGES</v>
      </c>
      <c r="C14" s="235"/>
      <c r="D14" s="11"/>
      <c r="E14" s="296"/>
      <c r="F14" s="297"/>
      <c r="G14" s="302"/>
      <c r="H14" s="219"/>
      <c r="I14" s="219"/>
      <c r="J14" s="219"/>
      <c r="K14" s="594"/>
    </row>
    <row r="15" spans="2:11">
      <c r="B15" s="238" t="str">
        <f>'Sommaire exécutif'!A18</f>
        <v>Papier et carton</v>
      </c>
      <c r="C15" s="37" t="str">
        <f>INDEX(ListeMatières,7)</f>
        <v>Carton ondulé</v>
      </c>
      <c r="D15" s="414" t="s">
        <v>50</v>
      </c>
      <c r="E15" s="292">
        <f t="shared" ref="E15:E21" si="4">TonnageCrédit</f>
        <v>0.15</v>
      </c>
      <c r="F15" s="416"/>
      <c r="G15" s="301">
        <f t="shared" ref="G15:G21" si="5">IF(D15 = $B$52,IF(F15="",E15,F15),0)</f>
        <v>0</v>
      </c>
      <c r="H15" s="144">
        <f>INDEX(tblMatières[Quantité déclarée (tonnes)],MATCH($C15,tblMatières[Matière],0))</f>
        <v>56835.883000000002</v>
      </c>
      <c r="I15" s="574">
        <f>SUM(Tarif!$H$20:$L$22)/SUM(Tarif!$G$20:$G$22)</f>
        <v>192.45567229563403</v>
      </c>
      <c r="J15" s="574">
        <f t="shared" ref="J15:J21" si="6">I15 / (1 - G15 * RabaisCrédit)</f>
        <v>192.45567229563403</v>
      </c>
      <c r="K15" s="635">
        <f t="shared" ref="K15:K21" si="7">(J15-I15)*H15</f>
        <v>0</v>
      </c>
    </row>
    <row r="16" spans="2:11">
      <c r="B16" s="238"/>
      <c r="C16" s="37" t="str">
        <f>INDEX(ListeMatières,8)</f>
        <v>Sacs de papier kraft</v>
      </c>
      <c r="D16" s="414" t="s">
        <v>49</v>
      </c>
      <c r="E16" s="292">
        <f t="shared" si="4"/>
        <v>0.15</v>
      </c>
      <c r="F16" s="416">
        <v>0</v>
      </c>
      <c r="G16" s="301">
        <f t="shared" si="5"/>
        <v>0</v>
      </c>
      <c r="H16" s="144">
        <f>INDEX(tblMatières[Quantité déclarée (tonnes)],MATCH($C16,tblMatières[Matière],0))</f>
        <v>2779.5329999999999</v>
      </c>
      <c r="I16" s="574">
        <f>I15</f>
        <v>192.45567229563403</v>
      </c>
      <c r="J16" s="574">
        <f t="shared" si="6"/>
        <v>192.45567229563403</v>
      </c>
      <c r="K16" s="635">
        <f t="shared" si="7"/>
        <v>0</v>
      </c>
    </row>
    <row r="17" spans="2:11">
      <c r="B17" s="238"/>
      <c r="C17" s="37" t="str">
        <f>INDEX(ListeMatières,9)</f>
        <v>Emballages de papier kraft</v>
      </c>
      <c r="D17" s="414" t="s">
        <v>49</v>
      </c>
      <c r="E17" s="292">
        <f t="shared" si="4"/>
        <v>0.15</v>
      </c>
      <c r="F17" s="416">
        <v>0</v>
      </c>
      <c r="G17" s="301">
        <f t="shared" si="5"/>
        <v>0</v>
      </c>
      <c r="H17" s="144">
        <f>INDEX(tblMatières[Quantité déclarée (tonnes)],MATCH($C17,tblMatières[Matière],0))</f>
        <v>311.67700000000002</v>
      </c>
      <c r="I17" s="574">
        <f>I15</f>
        <v>192.45567229563403</v>
      </c>
      <c r="J17" s="574">
        <f t="shared" si="6"/>
        <v>192.45567229563403</v>
      </c>
      <c r="K17" s="635">
        <f t="shared" si="7"/>
        <v>0</v>
      </c>
    </row>
    <row r="18" spans="2:11">
      <c r="B18" s="238"/>
      <c r="C18" s="37" t="str">
        <f>INDEX(ListeMatières,10)</f>
        <v>Carton plat et autres emballages de papier</v>
      </c>
      <c r="D18" s="414" t="s">
        <v>50</v>
      </c>
      <c r="E18" s="292">
        <f t="shared" si="4"/>
        <v>0.15</v>
      </c>
      <c r="F18" s="416"/>
      <c r="G18" s="301">
        <f t="shared" si="5"/>
        <v>0</v>
      </c>
      <c r="H18" s="144">
        <f>INDEX(tblMatières[Quantité déclarée (tonnes)],MATCH($C18,tblMatières[Matière],0))</f>
        <v>87303.759000000005</v>
      </c>
      <c r="I18" s="574">
        <f>SUM(Tarif!H23:L23)/H18</f>
        <v>207.39310556714872</v>
      </c>
      <c r="J18" s="574">
        <f t="shared" si="6"/>
        <v>207.39310556714872</v>
      </c>
      <c r="K18" s="635">
        <f t="shared" si="7"/>
        <v>0</v>
      </c>
    </row>
    <row r="19" spans="2:11">
      <c r="B19" s="238"/>
      <c r="C19" s="37" t="str">
        <f>INDEX(ListeMatières,11)</f>
        <v>Contenants à pignon</v>
      </c>
      <c r="D19" s="414" t="s">
        <v>50</v>
      </c>
      <c r="E19" s="292">
        <f t="shared" si="4"/>
        <v>0.15</v>
      </c>
      <c r="F19" s="416"/>
      <c r="G19" s="301">
        <f t="shared" si="5"/>
        <v>0</v>
      </c>
      <c r="H19" s="144">
        <f>INDEX(tblMatières[Quantité déclarée (tonnes)],MATCH($C19,tblMatières[Matière],0))</f>
        <v>12195.004999999999</v>
      </c>
      <c r="I19" s="574">
        <f>SUM(Tarif!H24:L24)/H19</f>
        <v>213.77379559556351</v>
      </c>
      <c r="J19" s="574">
        <f t="shared" si="6"/>
        <v>213.77379559556351</v>
      </c>
      <c r="K19" s="635">
        <f t="shared" si="7"/>
        <v>0</v>
      </c>
    </row>
    <row r="20" spans="2:11">
      <c r="B20" s="238"/>
      <c r="C20" s="37" t="str">
        <f>INDEX(ListeMatières,12)</f>
        <v>Laminés de papier</v>
      </c>
      <c r="D20" s="414" t="s">
        <v>49</v>
      </c>
      <c r="E20" s="292">
        <f t="shared" si="4"/>
        <v>0.15</v>
      </c>
      <c r="F20" s="416">
        <v>0</v>
      </c>
      <c r="G20" s="301">
        <f t="shared" si="5"/>
        <v>0</v>
      </c>
      <c r="H20" s="144">
        <f>INDEX(tblMatières[Quantité déclarée (tonnes)],MATCH($C20,tblMatières[Matière],0))</f>
        <v>12539.928</v>
      </c>
      <c r="I20" s="574">
        <f>SUM(Tarif!H25:L25)/H20</f>
        <v>289.35793660182259</v>
      </c>
      <c r="J20" s="574">
        <f t="shared" si="6"/>
        <v>289.35793660182259</v>
      </c>
      <c r="K20" s="635">
        <f t="shared" si="7"/>
        <v>0</v>
      </c>
    </row>
    <row r="21" spans="2:11">
      <c r="B21" s="238"/>
      <c r="C21" s="37" t="str">
        <f>INDEX(ListeMatières,13)</f>
        <v>Contenants aseptiques</v>
      </c>
      <c r="D21" s="414" t="s">
        <v>50</v>
      </c>
      <c r="E21" s="292">
        <f t="shared" si="4"/>
        <v>0.15</v>
      </c>
      <c r="F21" s="416"/>
      <c r="G21" s="301">
        <f t="shared" si="5"/>
        <v>0</v>
      </c>
      <c r="H21" s="144">
        <f>INDEX(tblMatières[Quantité déclarée (tonnes)],MATCH($C21,tblMatières[Matière],0))</f>
        <v>6206.049</v>
      </c>
      <c r="I21" s="574">
        <f>SUM(Tarif!H26:L26)/H21</f>
        <v>237.01133212519002</v>
      </c>
      <c r="J21" s="574">
        <f t="shared" si="6"/>
        <v>237.01133212519002</v>
      </c>
      <c r="K21" s="635">
        <f t="shared" si="7"/>
        <v>0</v>
      </c>
    </row>
    <row r="22" spans="2:11">
      <c r="B22" s="233" t="str">
        <f>'Sommaire exécutif'!A25</f>
        <v>Papier et carton TOTAL</v>
      </c>
      <c r="C22" s="233"/>
      <c r="D22" s="10"/>
      <c r="E22" s="84"/>
      <c r="F22" s="298"/>
      <c r="G22" s="85"/>
      <c r="H22" s="22">
        <f>SUBTOTAL(9,H15:H21)</f>
        <v>178171.83400000003</v>
      </c>
      <c r="I22" s="22"/>
      <c r="J22" s="22"/>
      <c r="K22" s="595">
        <f>SUBTOTAL(9,K15:K21)</f>
        <v>0</v>
      </c>
    </row>
    <row r="23" spans="2:11">
      <c r="B23" s="238" t="str">
        <f>'Sommaire exécutif'!A26</f>
        <v>Plastique</v>
      </c>
      <c r="C23" s="37" t="str">
        <f>INDEX(ListeMatières,14)</f>
        <v>Bouteilles PET</v>
      </c>
      <c r="D23" s="414" t="s">
        <v>49</v>
      </c>
      <c r="E23" s="292">
        <f t="shared" ref="E23:E33" si="8">TonnageCrédit</f>
        <v>0.15</v>
      </c>
      <c r="F23" s="415">
        <v>7.4999999999999997E-2</v>
      </c>
      <c r="G23" s="299">
        <f t="shared" ref="G23:G33" si="9">IF(D23 = $B$52,IF(F23="",E23,F23),0)</f>
        <v>7.4999999999999997E-2</v>
      </c>
      <c r="H23" s="144">
        <f>INDEX(tblMatières[Quantité déclarée (tonnes)],MATCH($C23,tblMatières[Matière],0))</f>
        <v>23327.881000000001</v>
      </c>
      <c r="I23" s="574">
        <f>SUM(Tarif!$H$28:$L$28)/(Tarif!$G$28+Tarif!$G$36)</f>
        <v>276.10759755348789</v>
      </c>
      <c r="J23" s="574">
        <f t="shared" ref="J23:J33" si="10">I23 / (1 - G23 * RabaisCrédit)</f>
        <v>280.31228178019074</v>
      </c>
      <c r="K23" s="635">
        <f t="shared" ref="K23:K33" si="11">(J23-I23)*H23</f>
        <v>98086.373283101173</v>
      </c>
    </row>
    <row r="24" spans="2:11">
      <c r="B24" s="238"/>
      <c r="C24" s="37" t="str">
        <f>INDEX(ListeMatières,15)</f>
        <v>Bouteilles HDPE</v>
      </c>
      <c r="D24" s="414" t="s">
        <v>49</v>
      </c>
      <c r="E24" s="292">
        <f t="shared" si="8"/>
        <v>0.15</v>
      </c>
      <c r="F24" s="416">
        <v>0</v>
      </c>
      <c r="G24" s="301">
        <f t="shared" si="9"/>
        <v>0</v>
      </c>
      <c r="H24" s="144">
        <f>INDEX(tblMatières[Quantité déclarée (tonnes)],MATCH($C24,tblMatières[Matière],0))</f>
        <v>16585.286</v>
      </c>
      <c r="I24" s="574">
        <f>SUM(Tarif!H29:L29)/H24</f>
        <v>163.65280675653273</v>
      </c>
      <c r="J24" s="574">
        <f t="shared" si="10"/>
        <v>163.65280675653273</v>
      </c>
      <c r="K24" s="635">
        <f t="shared" si="11"/>
        <v>0</v>
      </c>
    </row>
    <row r="25" spans="2:11">
      <c r="B25" s="238"/>
      <c r="C25" s="37" t="str">
        <f>INDEX(ListeMatières,16)</f>
        <v>Plastiques stratifiés</v>
      </c>
      <c r="D25" s="414" t="s">
        <v>50</v>
      </c>
      <c r="E25" s="292">
        <f t="shared" si="8"/>
        <v>0.15</v>
      </c>
      <c r="F25" s="416"/>
      <c r="G25" s="301">
        <f t="shared" si="9"/>
        <v>0</v>
      </c>
      <c r="H25" s="144">
        <f>INDEX(tblMatières[Quantité déclarée (tonnes)],MATCH($C25,tblMatières[Matière],0))</f>
        <v>12008.449000000001</v>
      </c>
      <c r="I25" s="574">
        <f>SUM(Tarif!$H$30:$L$32)/SUM(Tarif!$G$30:$G$32)</f>
        <v>488.81588377109034</v>
      </c>
      <c r="J25" s="574">
        <f t="shared" si="10"/>
        <v>488.81588377109034</v>
      </c>
      <c r="K25" s="635">
        <f t="shared" si="11"/>
        <v>0</v>
      </c>
    </row>
    <row r="26" spans="2:11">
      <c r="B26" s="238"/>
      <c r="C26" s="37" t="str">
        <f>INDEX(ListeMatières,17)</f>
        <v>Pellicules HDPE et LDPE</v>
      </c>
      <c r="D26" s="414" t="s">
        <v>50</v>
      </c>
      <c r="E26" s="292">
        <f t="shared" si="8"/>
        <v>0.15</v>
      </c>
      <c r="F26" s="416"/>
      <c r="G26" s="301">
        <f t="shared" si="9"/>
        <v>0</v>
      </c>
      <c r="H26" s="144">
        <f>INDEX(tblMatières[Quantité déclarée (tonnes)],MATCH($C26,tblMatières[Matière],0))</f>
        <v>21835.475999999999</v>
      </c>
      <c r="I26" s="574">
        <f>I25</f>
        <v>488.81588377109034</v>
      </c>
      <c r="J26" s="574">
        <f t="shared" si="10"/>
        <v>488.81588377109034</v>
      </c>
      <c r="K26" s="635">
        <f t="shared" si="11"/>
        <v>0</v>
      </c>
    </row>
    <row r="27" spans="2:11">
      <c r="B27" s="238"/>
      <c r="C27" s="37" t="str">
        <f>INDEX(ListeMatières,18)</f>
        <v>Sacs d'emplettes de pellicules HDPE et LDPE</v>
      </c>
      <c r="D27" s="414" t="s">
        <v>50</v>
      </c>
      <c r="E27" s="292">
        <f t="shared" si="8"/>
        <v>0.15</v>
      </c>
      <c r="F27" s="416"/>
      <c r="G27" s="301">
        <f t="shared" si="9"/>
        <v>0</v>
      </c>
      <c r="H27" s="144">
        <f>INDEX(tblMatières[Quantité déclarée (tonnes)],MATCH($C27,tblMatières[Matière],0))</f>
        <v>9133.4940000000006</v>
      </c>
      <c r="I27" s="574">
        <f>I25</f>
        <v>488.81588377109034</v>
      </c>
      <c r="J27" s="574">
        <f t="shared" si="10"/>
        <v>488.81588377109034</v>
      </c>
      <c r="K27" s="635">
        <f t="shared" si="11"/>
        <v>0</v>
      </c>
    </row>
    <row r="28" spans="2:11">
      <c r="B28" s="238"/>
      <c r="C28" s="37" t="str">
        <f>INDEX(ListeMatières,19)</f>
        <v>Polystyrène expansé alimentaire</v>
      </c>
      <c r="D28" s="414" t="s">
        <v>50</v>
      </c>
      <c r="E28" s="292">
        <f t="shared" si="8"/>
        <v>0.15</v>
      </c>
      <c r="F28" s="416"/>
      <c r="G28" s="301">
        <f t="shared" si="9"/>
        <v>0</v>
      </c>
      <c r="H28" s="144">
        <f>INDEX(tblMatières[Quantité déclarée (tonnes)],MATCH($C28,tblMatières[Matière],0))</f>
        <v>4325.6270000000004</v>
      </c>
      <c r="I28" s="574">
        <f>SUM(Tarif!H33:L35)/(SUM(Tarif!G33:G35) + Tarif!G37)</f>
        <v>789.76061896855288</v>
      </c>
      <c r="J28" s="574">
        <f t="shared" si="10"/>
        <v>789.76061896855288</v>
      </c>
      <c r="K28" s="635">
        <f t="shared" si="11"/>
        <v>0</v>
      </c>
    </row>
    <row r="29" spans="2:11">
      <c r="B29" s="238"/>
      <c r="C29" s="37" t="str">
        <f>INDEX(ListeMatières,20)</f>
        <v>Polystyrène expansé de protection</v>
      </c>
      <c r="D29" s="414" t="s">
        <v>50</v>
      </c>
      <c r="E29" s="292">
        <f t="shared" si="8"/>
        <v>0.15</v>
      </c>
      <c r="F29" s="416"/>
      <c r="G29" s="301">
        <f t="shared" si="9"/>
        <v>0</v>
      </c>
      <c r="H29" s="144">
        <f>INDEX(tblMatières[Quantité déclarée (tonnes)],MATCH($C29,tblMatières[Matière],0))</f>
        <v>1850.1969999999999</v>
      </c>
      <c r="I29" s="574">
        <f>I28</f>
        <v>789.76061896855288</v>
      </c>
      <c r="J29" s="574">
        <f t="shared" si="10"/>
        <v>789.76061896855288</v>
      </c>
      <c r="K29" s="635">
        <f t="shared" si="11"/>
        <v>0</v>
      </c>
    </row>
    <row r="30" spans="2:11">
      <c r="B30" s="238"/>
      <c r="C30" s="37" t="str">
        <f>INDEX(ListeMatières,21)</f>
        <v>Polystyrène non expansé</v>
      </c>
      <c r="D30" s="414" t="s">
        <v>50</v>
      </c>
      <c r="E30" s="292">
        <f t="shared" si="8"/>
        <v>0.15</v>
      </c>
      <c r="F30" s="416"/>
      <c r="G30" s="301">
        <f t="shared" si="9"/>
        <v>0</v>
      </c>
      <c r="H30" s="144">
        <f>INDEX(tblMatières[Quantité déclarée (tonnes)],MATCH($C30,tblMatières[Matière],0))</f>
        <v>4738.9629999999997</v>
      </c>
      <c r="I30" s="574">
        <f>I28</f>
        <v>789.76061896855288</v>
      </c>
      <c r="J30" s="574">
        <f t="shared" si="10"/>
        <v>789.76061896855288</v>
      </c>
      <c r="K30" s="635">
        <f t="shared" si="11"/>
        <v>0</v>
      </c>
    </row>
    <row r="31" spans="2:11">
      <c r="B31" s="238"/>
      <c r="C31" s="37" t="str">
        <f>INDEX(ListeMatières,22)</f>
        <v>Contenants de PET</v>
      </c>
      <c r="D31" s="414" t="s">
        <v>49</v>
      </c>
      <c r="E31" s="292">
        <f t="shared" si="8"/>
        <v>0.15</v>
      </c>
      <c r="F31" s="415">
        <v>7.4999999999999997E-2</v>
      </c>
      <c r="G31" s="299">
        <f t="shared" si="9"/>
        <v>7.4999999999999997E-2</v>
      </c>
      <c r="H31" s="144">
        <f>INDEX(tblMatières[Quantité déclarée (tonnes)],MATCH($C31,tblMatières[Matière],0))</f>
        <v>7338.1760000000004</v>
      </c>
      <c r="I31" s="574">
        <f>I23</f>
        <v>276.10759755348789</v>
      </c>
      <c r="J31" s="574">
        <f t="shared" si="10"/>
        <v>280.31228178019074</v>
      </c>
      <c r="K31" s="635">
        <f t="shared" si="11"/>
        <v>30854.712879969433</v>
      </c>
    </row>
    <row r="32" spans="2:11">
      <c r="B32" s="238"/>
      <c r="C32" s="37" t="str">
        <f>INDEX(ListeMatières,23)</f>
        <v>Acide polylactique (PLA) et autres plastiques dégradables</v>
      </c>
      <c r="D32" s="414" t="s">
        <v>50</v>
      </c>
      <c r="E32" s="292">
        <f t="shared" si="8"/>
        <v>0.15</v>
      </c>
      <c r="F32" s="416"/>
      <c r="G32" s="301">
        <f t="shared" si="9"/>
        <v>0</v>
      </c>
      <c r="H32" s="144">
        <f>INDEX(tblMatières[Quantité déclarée (tonnes)],MATCH($C32,tblMatières[Matière],0))</f>
        <v>82.570999999999998</v>
      </c>
      <c r="I32" s="574">
        <f>I28</f>
        <v>789.76061896855288</v>
      </c>
      <c r="J32" s="574">
        <f t="shared" si="10"/>
        <v>789.76061896855288</v>
      </c>
      <c r="K32" s="635">
        <f t="shared" si="11"/>
        <v>0</v>
      </c>
    </row>
    <row r="33" spans="2:11">
      <c r="B33" s="238"/>
      <c r="C33" s="37" t="str">
        <f>INDEX(ListeMatières,24)</f>
        <v>Autres plastiques, polymères et polyuréthanne</v>
      </c>
      <c r="D33" s="414" t="s">
        <v>50</v>
      </c>
      <c r="E33" s="292">
        <f t="shared" si="8"/>
        <v>0.15</v>
      </c>
      <c r="F33" s="416"/>
      <c r="G33" s="301">
        <f t="shared" si="9"/>
        <v>0</v>
      </c>
      <c r="H33" s="144">
        <f>INDEX(tblMatières[Quantité déclarée (tonnes)],MATCH($C33,tblMatières[Matière],0))</f>
        <v>33170.372000000003</v>
      </c>
      <c r="I33" s="574">
        <f>SUM(Tarif!H38:L38)/H33</f>
        <v>316.11030843206174</v>
      </c>
      <c r="J33" s="574">
        <f t="shared" si="10"/>
        <v>316.11030843206174</v>
      </c>
      <c r="K33" s="635">
        <f t="shared" si="11"/>
        <v>0</v>
      </c>
    </row>
    <row r="34" spans="2:11">
      <c r="B34" s="233" t="str">
        <f>'Sommaire exécutif'!A37</f>
        <v>Plastique TOTAL</v>
      </c>
      <c r="C34" s="233"/>
      <c r="D34" s="10"/>
      <c r="E34" s="84"/>
      <c r="F34" s="298"/>
      <c r="G34" s="85"/>
      <c r="H34" s="22">
        <f>SUBTOTAL(9,H23:H33)</f>
        <v>134396.49200000003</v>
      </c>
      <c r="I34" s="22"/>
      <c r="J34" s="22"/>
      <c r="K34" s="595">
        <f>SUBTOTAL(9,K23:K33)</f>
        <v>128941.08616307061</v>
      </c>
    </row>
    <row r="35" spans="2:11">
      <c r="B35" s="238" t="str">
        <f>'Sommaire exécutif'!A38</f>
        <v>Aluminium</v>
      </c>
      <c r="C35" s="37" t="str">
        <f>INDEX(ListeMatières,25)</f>
        <v>Contenants pour aliments et breuvages en aluminium</v>
      </c>
      <c r="D35" s="414" t="s">
        <v>50</v>
      </c>
      <c r="E35" s="292">
        <f>TonnageCrédit</f>
        <v>0.15</v>
      </c>
      <c r="F35" s="416"/>
      <c r="G35" s="301">
        <f t="shared" ref="G35:G36" si="12">IF(D35 = $B$52,IF(F35="",E35,F35),0)</f>
        <v>0</v>
      </c>
      <c r="H35" s="144">
        <f>INDEX(tblMatières[Quantité déclarée (tonnes)],MATCH($C35,tblMatières[Matière],0))</f>
        <v>2927.57</v>
      </c>
      <c r="I35" s="574">
        <f>SUM(Tarif!H40:L41)/SUM(Tarif!G40:G41)</f>
        <v>129.62256411791449</v>
      </c>
      <c r="J35" s="574">
        <f>I35 / (1 - G35 * RabaisCrédit)</f>
        <v>129.62256411791449</v>
      </c>
      <c r="K35" s="635">
        <f t="shared" ref="K35:K36" si="13">(J35-I35)*H35</f>
        <v>0</v>
      </c>
    </row>
    <row r="36" spans="2:11">
      <c r="B36" s="238"/>
      <c r="C36" s="37" t="str">
        <f>INDEX(ListeMatières,26)</f>
        <v>Autres contenants et emballages en aluminium</v>
      </c>
      <c r="D36" s="414" t="s">
        <v>50</v>
      </c>
      <c r="E36" s="292">
        <f>TonnageCrédit</f>
        <v>0.15</v>
      </c>
      <c r="F36" s="416"/>
      <c r="G36" s="301">
        <f t="shared" si="12"/>
        <v>0</v>
      </c>
      <c r="H36" s="144">
        <f>INDEX(tblMatières[Quantité déclarée (tonnes)],MATCH($C36,tblMatières[Matière],0))</f>
        <v>2080.3110000000001</v>
      </c>
      <c r="I36" s="574">
        <f>I35</f>
        <v>129.62256411791449</v>
      </c>
      <c r="J36" s="574">
        <f>I36 / (1 - G36 * RabaisCrédit)</f>
        <v>129.62256411791449</v>
      </c>
      <c r="K36" s="635">
        <f t="shared" si="13"/>
        <v>0</v>
      </c>
    </row>
    <row r="37" spans="2:11">
      <c r="B37" s="233" t="str">
        <f>'Sommaire exécutif'!A40</f>
        <v>Aluminium TOTAL</v>
      </c>
      <c r="C37" s="233"/>
      <c r="D37" s="10"/>
      <c r="E37" s="84"/>
      <c r="F37" s="298"/>
      <c r="G37" s="85"/>
      <c r="H37" s="22">
        <f>SUBTOTAL(9,H35:H36)</f>
        <v>5007.8810000000003</v>
      </c>
      <c r="I37" s="22"/>
      <c r="J37" s="22"/>
      <c r="K37" s="595">
        <f>SUBTOTAL(9,K26:K36)</f>
        <v>30854.712879969433</v>
      </c>
    </row>
    <row r="38" spans="2:11">
      <c r="B38" s="238" t="str">
        <f>'Sommaire exécutif'!A41</f>
        <v>Acier</v>
      </c>
      <c r="C38" s="37" t="str">
        <f>INDEX(ListeMatières,27)</f>
        <v>Bombes aérosol en acier</v>
      </c>
      <c r="D38" s="414" t="s">
        <v>50</v>
      </c>
      <c r="E38" s="292">
        <f>TonnageCrédit</f>
        <v>0.15</v>
      </c>
      <c r="F38" s="416"/>
      <c r="G38" s="301">
        <f t="shared" ref="G38:G39" si="14">IF(D38 = $B$52,IF(F38="",E38,F38),0)</f>
        <v>0</v>
      </c>
      <c r="H38" s="144">
        <f>INDEX(tblMatières[Quantité déclarée (tonnes)],MATCH($C38,tblMatières[Matière],0))</f>
        <v>1674.335</v>
      </c>
      <c r="I38" s="574">
        <f>SUM(Tarif!H43:L44)/SUM(Tarif!G43:G44)</f>
        <v>161.63965303467523</v>
      </c>
      <c r="J38" s="574">
        <f>I38 / (1 - G38 * RabaisCrédit)</f>
        <v>161.63965303467523</v>
      </c>
      <c r="K38" s="635">
        <f t="shared" ref="K38:K39" si="15">(J38-I38)*H38</f>
        <v>0</v>
      </c>
    </row>
    <row r="39" spans="2:11">
      <c r="B39" s="238"/>
      <c r="C39" s="37" t="str">
        <f>INDEX(ListeMatières,28)</f>
        <v>Autres contenants en acier</v>
      </c>
      <c r="D39" s="414" t="s">
        <v>50</v>
      </c>
      <c r="E39" s="292">
        <f>TonnageCrédit</f>
        <v>0.15</v>
      </c>
      <c r="F39" s="416"/>
      <c r="G39" s="301">
        <f t="shared" si="14"/>
        <v>0</v>
      </c>
      <c r="H39" s="144">
        <f>INDEX(tblMatières[Quantité déclarée (tonnes)],MATCH($C39,tblMatières[Matière],0))</f>
        <v>26835.954000000002</v>
      </c>
      <c r="I39" s="574">
        <f>I38</f>
        <v>161.63965303467523</v>
      </c>
      <c r="J39" s="574">
        <f>I39 / (1 - G39 * RabaisCrédit)</f>
        <v>161.63965303467523</v>
      </c>
      <c r="K39" s="635">
        <f t="shared" si="15"/>
        <v>0</v>
      </c>
    </row>
    <row r="40" spans="2:11">
      <c r="B40" s="233" t="str">
        <f>'Sommaire exécutif'!A43</f>
        <v>Acier TOTAL</v>
      </c>
      <c r="C40" s="233"/>
      <c r="D40" s="10"/>
      <c r="E40" s="84"/>
      <c r="F40" s="298"/>
      <c r="G40" s="85"/>
      <c r="H40" s="22">
        <f t="shared" ref="H40" si="16">SUBTOTAL(9,H38:H39)</f>
        <v>28510.289000000001</v>
      </c>
      <c r="I40" s="22"/>
      <c r="J40" s="22"/>
      <c r="K40" s="595">
        <f>SUBTOTAL(9,K29:K39)</f>
        <v>30854.712879969433</v>
      </c>
    </row>
    <row r="41" spans="2:11">
      <c r="B41" s="238" t="str">
        <f>'Sommaire exécutif'!A44</f>
        <v>Verre</v>
      </c>
      <c r="C41" s="37" t="str">
        <f>INDEX(ListeMatières,29)</f>
        <v>Verre clair</v>
      </c>
      <c r="D41" s="414" t="s">
        <v>50</v>
      </c>
      <c r="E41" s="292">
        <f>TonnageCrédit</f>
        <v>0.15</v>
      </c>
      <c r="F41" s="416"/>
      <c r="G41" s="301">
        <f t="shared" ref="G41:G42" si="17">IF(D41 = $B$52,IF(F41="",E41,F41),0)</f>
        <v>0</v>
      </c>
      <c r="H41" s="144">
        <f>INDEX(tblMatières[Quantité déclarée (tonnes)],MATCH($C41,tblMatières[Matière],0))</f>
        <v>52387.877</v>
      </c>
      <c r="I41" s="574">
        <f>SUM(Tarif!H46:L46)/H41</f>
        <v>192.10995432045283</v>
      </c>
      <c r="J41" s="574">
        <f>I41 / (1 - G41 * RabaisCrédit)</f>
        <v>192.10995432045283</v>
      </c>
      <c r="K41" s="635">
        <f t="shared" ref="K41:K42" si="18">(J41-I41)*H41</f>
        <v>0</v>
      </c>
    </row>
    <row r="42" spans="2:11">
      <c r="B42" s="238"/>
      <c r="C42" s="242" t="str">
        <f>INDEX(ListeMatières,30)</f>
        <v>Verre coloré</v>
      </c>
      <c r="D42" s="414" t="s">
        <v>50</v>
      </c>
      <c r="E42" s="292">
        <f>TonnageCrédit</f>
        <v>0.15</v>
      </c>
      <c r="F42" s="416"/>
      <c r="G42" s="301">
        <f t="shared" si="17"/>
        <v>0</v>
      </c>
      <c r="H42" s="144">
        <f>INDEX(tblMatières[Quantité déclarée (tonnes)],MATCH($C42,tblMatières[Matière],0))</f>
        <v>80574.570000000007</v>
      </c>
      <c r="I42" s="574">
        <f>SUM(Tarif!H47:L47)/H42</f>
        <v>192.91121548453287</v>
      </c>
      <c r="J42" s="574">
        <f>I42 / (1 - G42 * RabaisCrédit)</f>
        <v>192.91121548453287</v>
      </c>
      <c r="K42" s="635">
        <f t="shared" si="18"/>
        <v>0</v>
      </c>
    </row>
    <row r="43" spans="2:11">
      <c r="B43" s="233" t="str">
        <f>'Sommaire exécutif'!A46</f>
        <v>Verre TOTAL</v>
      </c>
      <c r="C43" s="233"/>
      <c r="D43" s="10"/>
      <c r="E43" s="43"/>
      <c r="F43" s="88"/>
      <c r="G43" s="51"/>
      <c r="H43" s="22">
        <f t="shared" ref="H43" si="19">SUBTOTAL(9,H41:H42)</f>
        <v>132962.44700000001</v>
      </c>
      <c r="I43" s="22"/>
      <c r="J43" s="22"/>
      <c r="K43" s="595">
        <f>SUBTOTAL(9,K32:K42)</f>
        <v>0</v>
      </c>
    </row>
    <row r="44" spans="2:11" ht="14.4" thickBot="1">
      <c r="B44" s="236" t="str">
        <f>'Sommaire exécutif'!A47</f>
        <v>CONTENANTS ET EMBALLAGES TOTAL</v>
      </c>
      <c r="C44" s="236"/>
      <c r="D44" s="23"/>
      <c r="E44" s="56"/>
      <c r="F44" s="183"/>
      <c r="G44" s="52"/>
      <c r="H44" s="229">
        <f>SUBTOTAL(9,H15:H43)</f>
        <v>479048.94300000003</v>
      </c>
      <c r="I44" s="229"/>
      <c r="J44" s="229"/>
      <c r="K44" s="596">
        <f>SUBTOTAL(9,K15:K43)</f>
        <v>128941.08616307061</v>
      </c>
    </row>
    <row r="45" spans="2:11">
      <c r="B45" s="238"/>
      <c r="C45" s="238"/>
      <c r="D45" s="37"/>
      <c r="E45" s="38"/>
      <c r="F45" s="17"/>
      <c r="G45" s="39"/>
      <c r="H45" s="144"/>
      <c r="I45" s="144"/>
      <c r="J45" s="144"/>
      <c r="K45" s="593"/>
    </row>
    <row r="46" spans="2:11" ht="14.4" thickBot="1">
      <c r="B46" s="569" t="str">
        <f>'Sommaire exécutif'!A49</f>
        <v>TOTAL</v>
      </c>
      <c r="C46" s="237"/>
      <c r="D46" s="15"/>
      <c r="E46" s="33"/>
      <c r="F46" s="184"/>
      <c r="G46" s="32"/>
      <c r="H46" s="220">
        <f>SUBTOTAL(9,H6:H44)</f>
        <v>637067.77300000004</v>
      </c>
      <c r="I46" s="220"/>
      <c r="J46" s="220"/>
      <c r="K46" s="597">
        <f>SUBTOTAL(9,K6:K44)</f>
        <v>613193.17145237792</v>
      </c>
    </row>
    <row r="47" spans="2:11" ht="14.4" thickTop="1"/>
    <row r="48" spans="2:11" ht="16.2">
      <c r="B48" s="232" t="s">
        <v>176</v>
      </c>
    </row>
    <row r="52" spans="2:2">
      <c r="B52" s="232" t="s">
        <v>49</v>
      </c>
    </row>
  </sheetData>
  <sheetProtection password="82A0" sheet="1" objects="1" scenarios="1"/>
  <mergeCells count="2">
    <mergeCell ref="E4:G4"/>
    <mergeCell ref="B3:K3"/>
  </mergeCells>
  <dataValidations count="1">
    <dataValidation type="list" allowBlank="1" showInputMessage="1" showErrorMessage="1" sqref="D6:D11 D15:D21 D41:D42 D35:D36 D38:D39 D23:D33">
      <formula1>"Oui,Non"</formula1>
    </dataValidation>
  </dataValidations>
  <pageMargins left="0.7" right="0.7" top="0.75" bottom="0.75" header="0.3" footer="0.3"/>
  <pageSetup scale="43" fitToHeight="0"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P197"/>
  <sheetViews>
    <sheetView showGridLines="0" zoomScale="80" zoomScaleNormal="80" zoomScaleSheetLayoutView="70" workbookViewId="0">
      <pane xSplit="3" ySplit="9" topLeftCell="D19" activePane="bottomRight" state="frozen"/>
      <selection activeCell="C18" sqref="C18"/>
      <selection pane="topRight" activeCell="C18" sqref="C18"/>
      <selection pane="bottomLeft" activeCell="C18" sqref="C18"/>
      <selection pane="bottomRight" activeCell="N12" sqref="N12:N16"/>
    </sheetView>
  </sheetViews>
  <sheetFormatPr baseColWidth="10" defaultColWidth="9.109375" defaultRowHeight="13.8"/>
  <cols>
    <col min="1" max="1" width="2.5546875" style="37" customWidth="1"/>
    <col min="2" max="2" width="26.5546875" style="3" customWidth="1"/>
    <col min="3" max="3" width="54.33203125" style="3" customWidth="1"/>
    <col min="4" max="4" width="19" style="3" bestFit="1" customWidth="1"/>
    <col min="5" max="5" width="21" style="3" bestFit="1" customWidth="1"/>
    <col min="6" max="6" width="19.109375" style="3" bestFit="1" customWidth="1"/>
    <col min="7" max="7" width="19.44140625" style="3" bestFit="1" customWidth="1"/>
    <col min="8" max="8" width="23" style="35" customWidth="1"/>
    <col min="9" max="9" width="16.44140625" style="35" customWidth="1"/>
    <col min="10" max="10" width="16.33203125" style="35" customWidth="1"/>
    <col min="11" max="11" width="16.6640625" style="35" customWidth="1"/>
    <col min="12" max="13" width="17.109375" style="35" customWidth="1"/>
    <col min="14" max="14" width="19.109375" style="35" customWidth="1"/>
    <col min="15" max="15" width="18.6640625" style="35" customWidth="1"/>
    <col min="16" max="16" width="18.5546875" style="35" bestFit="1" customWidth="1"/>
    <col min="17" max="16384" width="9.109375" style="37"/>
  </cols>
  <sheetData>
    <row r="1" spans="2:16" ht="6.75" customHeight="1">
      <c r="B1" s="35"/>
      <c r="C1" s="35"/>
      <c r="D1" s="35"/>
      <c r="E1" s="35"/>
      <c r="F1" s="35"/>
      <c r="G1" s="35"/>
    </row>
    <row r="2" spans="2:16" ht="18" thickBot="1">
      <c r="B2" s="502" t="s">
        <v>182</v>
      </c>
      <c r="C2" s="36"/>
      <c r="D2" s="36"/>
      <c r="E2" s="36"/>
      <c r="F2" s="36"/>
      <c r="G2" s="36"/>
      <c r="H2" s="36"/>
      <c r="I2" s="36"/>
      <c r="J2" s="36"/>
      <c r="K2" s="36"/>
      <c r="L2" s="36"/>
      <c r="M2" s="36"/>
      <c r="N2" s="36"/>
      <c r="O2" s="36"/>
      <c r="P2" s="36"/>
    </row>
    <row r="3" spans="2:16" ht="10.5" customHeight="1" thickBot="1"/>
    <row r="4" spans="2:16" ht="18" thickBot="1">
      <c r="B4" s="93" t="str">
        <f>Paramètres!B4</f>
        <v>Tarif</v>
      </c>
      <c r="C4" s="245">
        <f>AnnéeTarif</f>
        <v>2016</v>
      </c>
      <c r="D4" s="35"/>
      <c r="E4" s="35"/>
      <c r="F4" s="35"/>
      <c r="G4" s="35"/>
    </row>
    <row r="5" spans="2:16" ht="18" thickBot="1">
      <c r="B5" s="93" t="str">
        <f>Paramètres!B5</f>
        <v>Scénario</v>
      </c>
      <c r="C5" s="245" t="str">
        <f>Paramètres!C5</f>
        <v>Publication Juillet 2016</v>
      </c>
      <c r="D5" s="35"/>
      <c r="E5" s="35"/>
      <c r="F5" s="35"/>
      <c r="G5" s="35"/>
    </row>
    <row r="6" spans="2:16" ht="18" thickBot="1">
      <c r="B6" s="93" t="str">
        <f>Paramètres!B6</f>
        <v>Année de référence</v>
      </c>
      <c r="C6" s="94">
        <f>AnnéeRéf</f>
        <v>2015</v>
      </c>
      <c r="D6" s="92"/>
      <c r="E6" s="92"/>
      <c r="F6" s="92"/>
      <c r="G6" s="35"/>
      <c r="P6" s="527"/>
    </row>
    <row r="7" spans="2:16" s="105" customFormat="1" ht="32.25" customHeight="1">
      <c r="D7" s="707" t="s">
        <v>183</v>
      </c>
      <c r="E7" s="655"/>
      <c r="F7" s="655"/>
      <c r="G7" s="656"/>
      <c r="H7" s="707" t="s">
        <v>228</v>
      </c>
      <c r="I7" s="655"/>
      <c r="J7" s="655"/>
      <c r="K7" s="655"/>
      <c r="L7" s="655"/>
      <c r="M7" s="655"/>
      <c r="N7" s="655"/>
      <c r="O7" s="656"/>
      <c r="P7" s="626" t="s">
        <v>229</v>
      </c>
    </row>
    <row r="8" spans="2:16" ht="60" customHeight="1" thickBot="1">
      <c r="B8" s="42" t="str">
        <f>'Sommaire exécutif'!A7</f>
        <v>CATÉGORIE</v>
      </c>
      <c r="C8" s="9" t="str">
        <f>'Sommaire exécutif'!B7</f>
        <v>Matière</v>
      </c>
      <c r="D8" s="185" t="str">
        <f>'Sommaire exécutif'!D7</f>
        <v xml:space="preserve">Quantité générée
(tonnes) </v>
      </c>
      <c r="E8" s="169" t="str">
        <f>'Sommaire exécutif'!E7</f>
        <v xml:space="preserve">Quantité récupérée
(tonnes) </v>
      </c>
      <c r="F8" s="169" t="str">
        <f>'Sommaire exécutif'!F7</f>
        <v xml:space="preserve">Quantité éliminée
(tonnes) </v>
      </c>
      <c r="G8" s="267" t="str">
        <f>'Sommaire exécutif'!C7</f>
        <v>Quantité déclarée 
(tonnes)</v>
      </c>
      <c r="H8" s="169" t="s">
        <v>184</v>
      </c>
      <c r="I8" s="169" t="s">
        <v>82</v>
      </c>
      <c r="J8" s="169" t="s">
        <v>83</v>
      </c>
      <c r="K8" s="169" t="s">
        <v>84</v>
      </c>
      <c r="L8" s="286" t="s">
        <v>218</v>
      </c>
      <c r="M8" s="286" t="s">
        <v>226</v>
      </c>
      <c r="N8" s="286" t="s">
        <v>210</v>
      </c>
      <c r="O8" s="267" t="s">
        <v>85</v>
      </c>
      <c r="P8" s="529" t="str">
        <f>'Sommaire exécutif'!I7</f>
        <v>Taux 2016
($/tonne)</v>
      </c>
    </row>
    <row r="9" spans="2:16" ht="14.4" thickBot="1">
      <c r="B9" s="99"/>
      <c r="C9" s="69" t="s">
        <v>46</v>
      </c>
      <c r="D9" s="70"/>
      <c r="E9" s="71"/>
      <c r="F9" s="71"/>
      <c r="G9" s="72"/>
      <c r="H9" s="71"/>
      <c r="I9" s="188">
        <f>Facteur1</f>
        <v>0.4</v>
      </c>
      <c r="J9" s="189">
        <f>Facteur2</f>
        <v>0.4</v>
      </c>
      <c r="K9" s="145">
        <f>Facteur3</f>
        <v>0.2</v>
      </c>
      <c r="L9" s="71"/>
      <c r="M9" s="71"/>
      <c r="N9" s="71"/>
      <c r="O9" s="72"/>
      <c r="P9" s="73"/>
    </row>
    <row r="10" spans="2:16" ht="15" customHeight="1">
      <c r="B10" s="43" t="str">
        <f>'Sommaire exécutif'!A8</f>
        <v>IMPRIMÉS</v>
      </c>
      <c r="C10" s="11"/>
      <c r="D10" s="104"/>
      <c r="E10" s="79"/>
      <c r="F10" s="79"/>
      <c r="G10" s="103"/>
      <c r="H10" s="111"/>
      <c r="I10" s="79"/>
      <c r="J10" s="79"/>
      <c r="K10" s="186"/>
      <c r="L10" s="125"/>
      <c r="M10" s="125"/>
      <c r="N10" s="125"/>
      <c r="O10" s="619"/>
      <c r="P10" s="530"/>
    </row>
    <row r="11" spans="2:16">
      <c r="B11" s="38"/>
      <c r="C11" s="550" t="str">
        <f>INDEX(ListeMatières,1)</f>
        <v>Encarts et circulaires imprimés sur du papier journal</v>
      </c>
      <c r="D11" s="551">
        <f>INDEX(tblMatières[Quantité générée (tonnes)],MATCH($C11,tblMatières[Matière],0))</f>
        <v>97857.077999999994</v>
      </c>
      <c r="E11" s="552">
        <f>INDEX(tblMatières[Quantité récupérée (tonnes)],MATCH($C11,tblMatières[Matière],0))</f>
        <v>83603.981319046245</v>
      </c>
      <c r="F11" s="552">
        <f t="shared" ref="F11:F16" si="0">D11-E11</f>
        <v>14253.096680953749</v>
      </c>
      <c r="G11" s="553">
        <f>INDEX(tblMatières[Quantité déclarée (tonnes)],MATCH($C11,tblMatières[Matière],0))</f>
        <v>97857.077999999994</v>
      </c>
      <c r="H11" s="554">
        <f>'Frais de gestion &amp; RQ'!G10</f>
        <v>835740.63580887776</v>
      </c>
      <c r="I11" s="554">
        <f>'Facteur 1'!H10</f>
        <v>5399522.7215078669</v>
      </c>
      <c r="J11" s="555">
        <f>'Facteur 2'!J10</f>
        <v>7988367.8470666213</v>
      </c>
      <c r="K11" s="556">
        <f>'Facteur 3'!L10</f>
        <v>2583545.911938793</v>
      </c>
      <c r="L11" s="557">
        <f>'Limitation hausse'!L10</f>
        <v>0</v>
      </c>
      <c r="M11" s="557">
        <f>'Crédit contenu recyclé'!K6</f>
        <v>255946.85963942518</v>
      </c>
      <c r="N11" s="557">
        <f>INDEX(Paramètres!$F$48:$F$77,MATCH(C11,ListeMatières,0))</f>
        <v>0</v>
      </c>
      <c r="O11" s="622">
        <f>SUM(H11:N11)</f>
        <v>17063123.975961585</v>
      </c>
      <c r="P11" s="558">
        <f>ROUND(O11/G11,2)</f>
        <v>174.37</v>
      </c>
    </row>
    <row r="12" spans="2:16">
      <c r="B12" s="266"/>
      <c r="C12" s="559" t="str">
        <f>INDEX(ListeMatières,2)</f>
        <v>Catalogues et publications</v>
      </c>
      <c r="D12" s="560">
        <f>INDEX(tblMatières[Quantité générée (tonnes)],MATCH($C12,tblMatières[Matière],0))</f>
        <v>16849.689999999999</v>
      </c>
      <c r="E12" s="561">
        <f>INDEX(tblMatières[Quantité récupérée (tonnes)],MATCH($C12,tblMatières[Matière],0))</f>
        <v>13513.311672303862</v>
      </c>
      <c r="F12" s="561">
        <f t="shared" si="0"/>
        <v>3336.3783276961367</v>
      </c>
      <c r="G12" s="562">
        <f>INDEX(tblMatières[Quantité déclarée (tonnes)],MATCH($C12,tblMatières[Matière],0))</f>
        <v>16849.689999999999</v>
      </c>
      <c r="H12" s="665">
        <f>SUM('Frais de gestion &amp; RQ'!$G$11:$G$15)</f>
        <v>513806.6851725945</v>
      </c>
      <c r="I12" s="664">
        <f>SUM('Facteur 1'!$H$11:$H$15)</f>
        <v>6780346.457031982</v>
      </c>
      <c r="J12" s="668">
        <f>SUM('Facteur 2'!$J$11:$J$15)</f>
        <v>4191501.3314732248</v>
      </c>
      <c r="K12" s="666">
        <f>SUM('Facteur 3'!$L$11:$L$15)</f>
        <v>3506388.677331131</v>
      </c>
      <c r="L12" s="677">
        <f>SUM('Limitation hausse'!L11:L15)</f>
        <v>0</v>
      </c>
      <c r="M12" s="677">
        <f>SUM('Crédit contenu recyclé'!K7:K11)</f>
        <v>228305.22564988228</v>
      </c>
      <c r="N12" s="695">
        <f>SUM(Paramètres!F49:F53)</f>
        <v>0</v>
      </c>
      <c r="O12" s="687">
        <f>SUM(H12:N16)</f>
        <v>15220348.376658814</v>
      </c>
      <c r="P12" s="563">
        <f>ROUND(O12 /SUM($G$12:$G$16),2)</f>
        <v>252.99</v>
      </c>
    </row>
    <row r="13" spans="2:16" ht="15" customHeight="1">
      <c r="B13" s="266"/>
      <c r="C13" s="559" t="str">
        <f>INDEX(ListeMatières,3)</f>
        <v>Magazines</v>
      </c>
      <c r="D13" s="560">
        <f>INDEX(tblMatières[Quantité générée (tonnes)],MATCH($C13,tblMatières[Matière],0))</f>
        <v>10816.571</v>
      </c>
      <c r="E13" s="561">
        <f>INDEX(tblMatières[Quantité récupérée (tonnes)],MATCH($C13,tblMatières[Matière],0))</f>
        <v>9110.2160408458858</v>
      </c>
      <c r="F13" s="561">
        <f t="shared" si="0"/>
        <v>1706.3549591541141</v>
      </c>
      <c r="G13" s="562">
        <f>INDEX(tblMatières[Quantité déclarée (tonnes)],MATCH($C13,tblMatières[Matière],0))</f>
        <v>10816.571</v>
      </c>
      <c r="H13" s="665"/>
      <c r="I13" s="664"/>
      <c r="J13" s="668"/>
      <c r="K13" s="666"/>
      <c r="L13" s="678"/>
      <c r="M13" s="678"/>
      <c r="N13" s="693"/>
      <c r="O13" s="688"/>
      <c r="P13" s="563">
        <f>P12</f>
        <v>252.99</v>
      </c>
    </row>
    <row r="14" spans="2:16" ht="15" customHeight="1">
      <c r="B14" s="266"/>
      <c r="C14" s="559" t="str">
        <f>INDEX(ListeMatières,4)</f>
        <v>Annuaires téléphoniques</v>
      </c>
      <c r="D14" s="560">
        <f>INDEX(tblMatières[Quantité générée (tonnes)],MATCH($C14,tblMatières[Matière],0))</f>
        <v>1956.9110000000001</v>
      </c>
      <c r="E14" s="561">
        <f>INDEX(tblMatières[Quantité récupérée (tonnes)],MATCH($C14,tblMatières[Matière],0))</f>
        <v>1761.6059678635033</v>
      </c>
      <c r="F14" s="561">
        <f t="shared" si="0"/>
        <v>195.30503213649672</v>
      </c>
      <c r="G14" s="562">
        <f>INDEX(tblMatières[Quantité déclarée (tonnes)],MATCH($C14,tblMatières[Matière],0))</f>
        <v>1956.9110000000001</v>
      </c>
      <c r="H14" s="665"/>
      <c r="I14" s="664"/>
      <c r="J14" s="668"/>
      <c r="K14" s="666"/>
      <c r="L14" s="678"/>
      <c r="M14" s="678"/>
      <c r="N14" s="693"/>
      <c r="O14" s="688"/>
      <c r="P14" s="563">
        <f t="shared" ref="P14:P16" si="1">P13</f>
        <v>252.99</v>
      </c>
    </row>
    <row r="15" spans="2:16" ht="15" customHeight="1">
      <c r="B15" s="266"/>
      <c r="C15" s="559" t="str">
        <f>INDEX(ListeMatières,5)</f>
        <v>Papier à usage général</v>
      </c>
      <c r="D15" s="560">
        <f>INDEX(tblMatières[Quantité générée (tonnes)],MATCH($C15,tblMatières[Matière],0))</f>
        <v>4514.6930000000002</v>
      </c>
      <c r="E15" s="561">
        <f>INDEX(tblMatières[Quantité récupérée (tonnes)],MATCH($C15,tblMatières[Matière],0))</f>
        <v>2990.2667386915787</v>
      </c>
      <c r="F15" s="561">
        <f t="shared" si="0"/>
        <v>1524.4262613084215</v>
      </c>
      <c r="G15" s="562">
        <f>INDEX(tblMatières[Quantité déclarée (tonnes)],MATCH($C15,tblMatières[Matière],0))</f>
        <v>4514.6930000000002</v>
      </c>
      <c r="H15" s="665"/>
      <c r="I15" s="664"/>
      <c r="J15" s="668"/>
      <c r="K15" s="666"/>
      <c r="L15" s="678"/>
      <c r="M15" s="678"/>
      <c r="N15" s="693"/>
      <c r="O15" s="688"/>
      <c r="P15" s="563">
        <f t="shared" si="1"/>
        <v>252.99</v>
      </c>
    </row>
    <row r="16" spans="2:16" ht="15.75" customHeight="1" thickBot="1">
      <c r="B16" s="540"/>
      <c r="C16" s="541" t="str">
        <f>INDEX(ListeMatières,6)</f>
        <v>Autres imprimés</v>
      </c>
      <c r="D16" s="542">
        <f>INDEX(tblMatières[Quantité générée (tonnes)],MATCH($C16,tblMatières[Matière],0))</f>
        <v>26023.886999999999</v>
      </c>
      <c r="E16" s="543">
        <f>INDEX(tblMatières[Quantité récupérée (tonnes)],MATCH($C16,tblMatières[Matière],0))</f>
        <v>14888.300480798885</v>
      </c>
      <c r="F16" s="543">
        <f t="shared" si="0"/>
        <v>11135.586519201113</v>
      </c>
      <c r="G16" s="544">
        <f>INDEX(tblMatières[Quantité déclarée (tonnes)],MATCH($C16,tblMatières[Matière],0))</f>
        <v>26023.886999999999</v>
      </c>
      <c r="H16" s="709"/>
      <c r="I16" s="710"/>
      <c r="J16" s="711"/>
      <c r="K16" s="708"/>
      <c r="L16" s="714"/>
      <c r="M16" s="714"/>
      <c r="N16" s="712"/>
      <c r="O16" s="713"/>
      <c r="P16" s="545">
        <f t="shared" si="1"/>
        <v>252.99</v>
      </c>
    </row>
    <row r="17" spans="2:16" s="6" customFormat="1" ht="15" thickTop="1" thickBot="1">
      <c r="B17" s="56" t="str">
        <f>'Sommaire exécutif'!A15</f>
        <v>IMPRIMÉS TOTAL</v>
      </c>
      <c r="C17" s="23"/>
      <c r="D17" s="538">
        <f>SUBTOTAL(9,D11:D16)</f>
        <v>158018.82999999999</v>
      </c>
      <c r="E17" s="229">
        <f t="shared" ref="E17:O17" si="2">SUBTOTAL(9,E11:E16)</f>
        <v>125867.68221954998</v>
      </c>
      <c r="F17" s="229">
        <f t="shared" si="2"/>
        <v>32151.147780450032</v>
      </c>
      <c r="G17" s="539">
        <f t="shared" si="2"/>
        <v>158018.82999999999</v>
      </c>
      <c r="H17" s="496">
        <f t="shared" si="2"/>
        <v>1349547.3209814723</v>
      </c>
      <c r="I17" s="496">
        <f t="shared" si="2"/>
        <v>12179869.17853985</v>
      </c>
      <c r="J17" s="496">
        <f t="shared" si="2"/>
        <v>12179869.178539846</v>
      </c>
      <c r="K17" s="496">
        <f t="shared" si="2"/>
        <v>6089934.589269924</v>
      </c>
      <c r="L17" s="496">
        <f t="shared" si="2"/>
        <v>0</v>
      </c>
      <c r="M17" s="496">
        <f t="shared" si="2"/>
        <v>484252.08528930746</v>
      </c>
      <c r="N17" s="496">
        <f t="shared" si="2"/>
        <v>0</v>
      </c>
      <c r="O17" s="615">
        <f t="shared" si="2"/>
        <v>32283472.3526204</v>
      </c>
      <c r="P17" s="537">
        <f>SUMPRODUCT($P$11:$P$16,$G$11:$G$16)/SUM($G$11:$G$16)</f>
        <v>204.30261589292871</v>
      </c>
    </row>
    <row r="18" spans="2:16" ht="6" customHeight="1">
      <c r="B18" s="38"/>
      <c r="D18" s="266"/>
      <c r="E18" s="35"/>
      <c r="F18" s="35"/>
      <c r="G18" s="39"/>
      <c r="H18" s="107"/>
      <c r="I18" s="239"/>
      <c r="J18" s="239"/>
      <c r="K18" s="230"/>
      <c r="L18" s="139"/>
      <c r="M18" s="139"/>
      <c r="N18" s="139"/>
      <c r="O18" s="620"/>
      <c r="P18" s="532"/>
    </row>
    <row r="19" spans="2:16">
      <c r="B19" s="43" t="str">
        <f>'Sommaire exécutif'!A17</f>
        <v>CONTENANTS ET EMBALLAGES</v>
      </c>
      <c r="C19" s="11"/>
      <c r="D19" s="34"/>
      <c r="E19" s="11"/>
      <c r="F19" s="11"/>
      <c r="G19" s="45"/>
      <c r="H19" s="110"/>
      <c r="I19" s="580"/>
      <c r="J19" s="580"/>
      <c r="K19" s="580"/>
      <c r="L19" s="125"/>
      <c r="M19" s="125"/>
      <c r="N19" s="125"/>
      <c r="O19" s="619"/>
      <c r="P19" s="533"/>
    </row>
    <row r="20" spans="2:16">
      <c r="B20" s="46" t="str">
        <f>'Sommaire exécutif'!A18</f>
        <v>Papier et carton</v>
      </c>
      <c r="C20" s="37" t="str">
        <f>INDEX(ListeMatières,7)</f>
        <v>Carton ondulé</v>
      </c>
      <c r="D20" s="58">
        <f>INDEX(tblMatières[Quantité générée (tonnes)],MATCH($C20,tblMatières[Matière],0))</f>
        <v>56835.883000000002</v>
      </c>
      <c r="E20" s="26">
        <f>INDEX(tblMatières[Quantité récupérée (tonnes)],MATCH($C20,tblMatières[Matière],0))</f>
        <v>40298.230838201678</v>
      </c>
      <c r="F20" s="26">
        <f t="shared" ref="F20:F26" si="3">D20-E20</f>
        <v>16537.652161798324</v>
      </c>
      <c r="G20" s="144">
        <f>INDEX(tblMatières[Quantité déclarée (tonnes)],MATCH($C20,tblMatières[Matière],0))</f>
        <v>56835.883000000002</v>
      </c>
      <c r="H20" s="705">
        <f>SUM('Frais de gestion &amp; RQ'!$G$19:$G$21)</f>
        <v>707143.34669265314</v>
      </c>
      <c r="I20" s="664">
        <f>SUM('Facteur 1'!$H$19:$H$21)</f>
        <v>4105721.1048924462</v>
      </c>
      <c r="J20" s="668">
        <f>SUM('Facteur 2'!$J$19:$J$21)</f>
        <v>5655377.4999011466</v>
      </c>
      <c r="K20" s="666">
        <f>SUM('Facteur 3'!$L$19:$L$21)</f>
        <v>1065067.0205517402</v>
      </c>
      <c r="L20" s="674">
        <f>SUM('Limitation hausse'!L19:L21)</f>
        <v>0</v>
      </c>
      <c r="M20" s="674">
        <f>SUM('Crédit contenu recyclé'!K15:K17)</f>
        <v>0</v>
      </c>
      <c r="N20" s="670">
        <f>SUM(Paramètres!F54:F56)</f>
        <v>0</v>
      </c>
      <c r="O20" s="684">
        <f>SUM(H20:N22)</f>
        <v>11533308.972037986</v>
      </c>
      <c r="P20" s="531">
        <f>ROUND(O20 /SUM($G$20:$G$22),2)</f>
        <v>192.46</v>
      </c>
    </row>
    <row r="21" spans="2:16">
      <c r="B21" s="46"/>
      <c r="C21" s="559" t="str">
        <f>INDEX(ListeMatières,8)</f>
        <v>Sacs de papier kraft</v>
      </c>
      <c r="D21" s="560">
        <f>INDEX(tblMatières[Quantité générée (tonnes)],MATCH($C21,tblMatières[Matière],0))</f>
        <v>2779.5329999999999</v>
      </c>
      <c r="E21" s="561">
        <f>INDEX(tblMatières[Quantité récupérée (tonnes)],MATCH($C21,tblMatières[Matière],0))</f>
        <v>954.88002661803682</v>
      </c>
      <c r="F21" s="561">
        <f t="shared" si="3"/>
        <v>1824.652973381963</v>
      </c>
      <c r="G21" s="561">
        <f>INDEX(tblMatières[Quantité déclarée (tonnes)],MATCH($C21,tblMatières[Matière],0))</f>
        <v>2779.5329999999999</v>
      </c>
      <c r="H21" s="705"/>
      <c r="I21" s="664"/>
      <c r="J21" s="668"/>
      <c r="K21" s="666"/>
      <c r="L21" s="675"/>
      <c r="M21" s="675"/>
      <c r="N21" s="693"/>
      <c r="O21" s="685"/>
      <c r="P21" s="563">
        <f>P20</f>
        <v>192.46</v>
      </c>
    </row>
    <row r="22" spans="2:16">
      <c r="B22" s="46"/>
      <c r="C22" s="559" t="str">
        <f>INDEX(ListeMatières,9)</f>
        <v>Emballages de papier kraft</v>
      </c>
      <c r="D22" s="560">
        <f>INDEX(tblMatières[Quantité générée (tonnes)],MATCH($C22,tblMatières[Matière],0))</f>
        <v>311.67700000000002</v>
      </c>
      <c r="E22" s="561">
        <f>INDEX(tblMatières[Quantité récupérée (tonnes)],MATCH($C22,tblMatières[Matière],0))</f>
        <v>99.135800518476543</v>
      </c>
      <c r="F22" s="561">
        <f t="shared" si="3"/>
        <v>212.54119948152348</v>
      </c>
      <c r="G22" s="561">
        <f>INDEX(tblMatières[Quantité déclarée (tonnes)],MATCH($C22,tblMatières[Matière],0))</f>
        <v>311.67700000000002</v>
      </c>
      <c r="H22" s="706"/>
      <c r="I22" s="704"/>
      <c r="J22" s="669"/>
      <c r="K22" s="667"/>
      <c r="L22" s="676"/>
      <c r="M22" s="676"/>
      <c r="N22" s="694"/>
      <c r="O22" s="686"/>
      <c r="P22" s="563">
        <f>P20</f>
        <v>192.46</v>
      </c>
    </row>
    <row r="23" spans="2:16">
      <c r="B23" s="46"/>
      <c r="C23" s="559" t="str">
        <f>INDEX(ListeMatières,10)</f>
        <v>Carton plat et autres emballages de papier</v>
      </c>
      <c r="D23" s="560">
        <f>INDEX(tblMatières[Quantité générée (tonnes)],MATCH($C23,tblMatières[Matière],0))</f>
        <v>87303.759000000005</v>
      </c>
      <c r="E23" s="561">
        <f>INDEX(tblMatières[Quantité récupérée (tonnes)],MATCH($C23,tblMatières[Matière],0))</f>
        <v>49237.634927102714</v>
      </c>
      <c r="F23" s="561">
        <f t="shared" si="3"/>
        <v>38066.124072897292</v>
      </c>
      <c r="G23" s="562">
        <f>INDEX(tblMatières[Quantité déclarée (tonnes)],MATCH($C23,tblMatières[Matière],0))</f>
        <v>87303.759000000005</v>
      </c>
      <c r="H23" s="564">
        <f>'Frais de gestion &amp; RQ'!G22</f>
        <v>1030189.6726094963</v>
      </c>
      <c r="I23" s="565">
        <f>'Facteur 1'!H22</f>
        <v>8414007.1024923697</v>
      </c>
      <c r="J23" s="566">
        <f>'Facteur 2'!J22</f>
        <v>6541612.2016718565</v>
      </c>
      <c r="K23" s="567">
        <f>'Facteur 3'!L22</f>
        <v>2120388.7299221866</v>
      </c>
      <c r="L23" s="568">
        <f>'Limitation hausse'!L22</f>
        <v>0</v>
      </c>
      <c r="M23" s="568">
        <f>'Crédit contenu recyclé'!K18</f>
        <v>0</v>
      </c>
      <c r="N23" s="613">
        <f>INDEX(Paramètres!$F$48:$F$77,MATCH(C23,ListeMatières,0))</f>
        <v>0</v>
      </c>
      <c r="O23" s="623">
        <f>SUM(H23:N23)</f>
        <v>18106197.706695911</v>
      </c>
      <c r="P23" s="563">
        <f>O23/G23</f>
        <v>207.39310556714872</v>
      </c>
    </row>
    <row r="24" spans="2:16">
      <c r="B24" s="46"/>
      <c r="C24" s="559" t="str">
        <f>INDEX(ListeMatières,11)</f>
        <v>Contenants à pignon</v>
      </c>
      <c r="D24" s="560">
        <f>INDEX(tblMatières[Quantité générée (tonnes)],MATCH($C24,tblMatières[Matière],0))</f>
        <v>12195.004999999999</v>
      </c>
      <c r="E24" s="561">
        <f>INDEX(tblMatières[Quantité récupérée (tonnes)],MATCH($C24,tblMatières[Matière],0))</f>
        <v>8372.0581397423357</v>
      </c>
      <c r="F24" s="561">
        <f t="shared" si="3"/>
        <v>3822.9468602576635</v>
      </c>
      <c r="G24" s="562">
        <f>INDEX(tblMatières[Quantité déclarée (tonnes)],MATCH($C24,tblMatières[Matière],0))</f>
        <v>12195.004999999999</v>
      </c>
      <c r="H24" s="564">
        <f>'Frais de gestion &amp; RQ'!G23</f>
        <v>143901.80162140747</v>
      </c>
      <c r="I24" s="565">
        <f>'Facteur 1'!H23</f>
        <v>845011.22239448002</v>
      </c>
      <c r="J24" s="566">
        <f>'Facteur 2'!J23</f>
        <v>1358059.1367363154</v>
      </c>
      <c r="K24" s="567">
        <f>'Facteur 3'!L23</f>
        <v>260000.34540467191</v>
      </c>
      <c r="L24" s="568">
        <f>'Limitation hausse'!L23</f>
        <v>0</v>
      </c>
      <c r="M24" s="568">
        <f>'Crédit contenu recyclé'!K19</f>
        <v>0</v>
      </c>
      <c r="N24" s="613">
        <f>INDEX(Paramètres!$F$48:$F$77,MATCH(C24,ListeMatières,0))</f>
        <v>-23170.509500000069</v>
      </c>
      <c r="O24" s="623">
        <f>SUM(H24:N24)</f>
        <v>2583801.9966568747</v>
      </c>
      <c r="P24" s="563">
        <f>O24/G24</f>
        <v>211.87379559556351</v>
      </c>
    </row>
    <row r="25" spans="2:16">
      <c r="B25" s="46"/>
      <c r="C25" s="559" t="str">
        <f>INDEX(ListeMatières,12)</f>
        <v>Laminés de papier</v>
      </c>
      <c r="D25" s="560">
        <f>INDEX(tblMatières[Quantité générée (tonnes)],MATCH($C25,tblMatières[Matière],0))</f>
        <v>12539.928</v>
      </c>
      <c r="E25" s="561">
        <f>INDEX(tblMatières[Quantité récupérée (tonnes)],MATCH($C25,tblMatières[Matière],0))</f>
        <v>3387.8210957870429</v>
      </c>
      <c r="F25" s="561">
        <f t="shared" si="3"/>
        <v>9152.1069042129566</v>
      </c>
      <c r="G25" s="562">
        <f>INDEX(tblMatières[Quantité déclarée (tonnes)],MATCH($C25,tblMatières[Matière],0))</f>
        <v>12539.928</v>
      </c>
      <c r="H25" s="564">
        <f>'Frais de gestion &amp; RQ'!G24</f>
        <v>147971.91402567964</v>
      </c>
      <c r="I25" s="565">
        <f>'Facteur 1'!H24</f>
        <v>2022950.7040787665</v>
      </c>
      <c r="J25" s="566">
        <f>'Facteur 2'!J24</f>
        <v>683476.22990578541</v>
      </c>
      <c r="K25" s="567">
        <f>'Facteur 3'!L24</f>
        <v>774128.84320518863</v>
      </c>
      <c r="L25" s="568">
        <f>'Limitation hausse'!L24</f>
        <v>0</v>
      </c>
      <c r="M25" s="568">
        <f>'Crédit contenu recyclé'!K20</f>
        <v>0</v>
      </c>
      <c r="N25" s="613">
        <f>INDEX(Paramètres!$F$48:$F$77,MATCH(C25,ListeMatières,0))</f>
        <v>-298826.48424000049</v>
      </c>
      <c r="O25" s="623">
        <f>SUM(H25:N25)</f>
        <v>3329701.2069754195</v>
      </c>
      <c r="P25" s="563">
        <f>O25/G25</f>
        <v>265.52793660182255</v>
      </c>
    </row>
    <row r="26" spans="2:16">
      <c r="B26" s="46"/>
      <c r="C26" s="37" t="str">
        <f>INDEX(ListeMatières,13)</f>
        <v>Contenants aseptiques</v>
      </c>
      <c r="D26" s="58">
        <f>INDEX(tblMatières[Quantité générée (tonnes)],MATCH($C26,tblMatières[Matière],0))</f>
        <v>6206.049</v>
      </c>
      <c r="E26" s="26">
        <f>INDEX(tblMatières[Quantité récupérée (tonnes)],MATCH($C26,tblMatières[Matière],0))</f>
        <v>3243.8457246695884</v>
      </c>
      <c r="F26" s="26">
        <f t="shared" si="3"/>
        <v>2962.2032753304115</v>
      </c>
      <c r="G26" s="48">
        <f>INDEX(tblMatières[Quantité déclarée (tonnes)],MATCH($C26,tblMatières[Matière],0))</f>
        <v>6206.049</v>
      </c>
      <c r="H26" s="564">
        <f>'Frais de gestion &amp; RQ'!G25</f>
        <v>73231.756120701422</v>
      </c>
      <c r="I26" s="565">
        <f>'Facteur 1'!H25</f>
        <v>654755.37645824801</v>
      </c>
      <c r="J26" s="566">
        <f>'Facteur 2'!J25</f>
        <v>537230.78709145891</v>
      </c>
      <c r="K26" s="567">
        <f>'Facteur 3'!L25</f>
        <v>205686.02105379492</v>
      </c>
      <c r="L26" s="568">
        <f>'Limitation hausse'!L25</f>
        <v>0</v>
      </c>
      <c r="M26" s="568">
        <f>'Crédit contenu recyclé'!K21</f>
        <v>0</v>
      </c>
      <c r="N26" s="613">
        <f>INDEX(Paramètres!$F$48:$F$77,MATCH(C26,ListeMatières,0))</f>
        <v>0</v>
      </c>
      <c r="O26" s="623">
        <f>SUM(H26:N26)</f>
        <v>1470903.9407242034</v>
      </c>
      <c r="P26" s="531">
        <f>O26/G26</f>
        <v>237.01133212519002</v>
      </c>
    </row>
    <row r="27" spans="2:16" s="6" customFormat="1">
      <c r="B27" s="43" t="str">
        <f>'Sommaire exécutif'!A25</f>
        <v>Papier et carton TOTAL</v>
      </c>
      <c r="C27" s="10"/>
      <c r="D27" s="60">
        <f>SUBTOTAL(9,D20:D26)</f>
        <v>178171.83400000003</v>
      </c>
      <c r="E27" s="22">
        <f t="shared" ref="E27:O27" si="4">SUBTOTAL(9,E20:E26)</f>
        <v>105593.60655263987</v>
      </c>
      <c r="F27" s="22">
        <f t="shared" si="4"/>
        <v>72578.227447360128</v>
      </c>
      <c r="G27" s="29">
        <f t="shared" si="4"/>
        <v>178171.83400000003</v>
      </c>
      <c r="H27" s="495">
        <f t="shared" si="4"/>
        <v>2102438.4910699381</v>
      </c>
      <c r="I27" s="495">
        <f t="shared" si="4"/>
        <v>16042445.51031631</v>
      </c>
      <c r="J27" s="495">
        <f t="shared" si="4"/>
        <v>14775755.855306562</v>
      </c>
      <c r="K27" s="495">
        <f t="shared" si="4"/>
        <v>4425270.9601375824</v>
      </c>
      <c r="L27" s="495">
        <f t="shared" si="4"/>
        <v>0</v>
      </c>
      <c r="M27" s="495">
        <f t="shared" si="4"/>
        <v>0</v>
      </c>
      <c r="N27" s="495">
        <f t="shared" si="4"/>
        <v>-321996.99374000053</v>
      </c>
      <c r="O27" s="616">
        <f t="shared" si="4"/>
        <v>37023913.823090397</v>
      </c>
      <c r="P27" s="536">
        <f>SUMPRODUCT(P20:P26,G20:G26)/SUM(G20:G26)</f>
        <v>207.80037079167295</v>
      </c>
    </row>
    <row r="28" spans="2:16">
      <c r="B28" s="46" t="str">
        <f>'Sommaire exécutif'!A26</f>
        <v>Plastique</v>
      </c>
      <c r="C28" s="37" t="str">
        <f>INDEX(ListeMatières,14)</f>
        <v>Bouteilles PET</v>
      </c>
      <c r="D28" s="58">
        <f>INDEX(tblMatières[Quantité générée (tonnes)],MATCH($C28,tblMatières[Matière],0))</f>
        <v>23327.881000000001</v>
      </c>
      <c r="E28" s="26">
        <f>INDEX(tblMatières[Quantité récupérée (tonnes)],MATCH($C28,tblMatières[Matière],0))</f>
        <v>13712.749776472803</v>
      </c>
      <c r="F28" s="26">
        <f t="shared" ref="F28:F38" si="5">D28-E28</f>
        <v>9615.131223527198</v>
      </c>
      <c r="G28" s="48">
        <f>INDEX(tblMatières[Quantité déclarée (tonnes)],MATCH($C28,tblMatières[Matière],0))</f>
        <v>23327.881000000001</v>
      </c>
      <c r="H28" s="493">
        <f>'Frais de gestion &amp; RQ'!G27+'Frais de gestion &amp; RQ'!G35</f>
        <v>760923.57881280687</v>
      </c>
      <c r="I28" s="490">
        <f>'Facteur 1'!H27+'Facteur 1'!H35</f>
        <v>2956434.5207716385</v>
      </c>
      <c r="J28" s="491">
        <f>'Facteur 2'!J27+'Facteur 2'!J35</f>
        <v>3552909.9304697518</v>
      </c>
      <c r="K28" s="492">
        <f>'Facteur 3'!L27+'Facteur 3'!L35</f>
        <v>1196863.2946541242</v>
      </c>
      <c r="L28" s="494">
        <f>'Limitation hausse'!L27+'Limitation hausse'!L35</f>
        <v>0</v>
      </c>
      <c r="M28" s="494">
        <f>'Crédit contenu recyclé'!K23+'Crédit contenu recyclé'!K31</f>
        <v>128941.08616307061</v>
      </c>
      <c r="N28" s="613">
        <f>Paramètres!F61+Paramètres!F69</f>
        <v>0</v>
      </c>
      <c r="O28" s="624">
        <f>SUM(H28:N28)</f>
        <v>8596072.4108713903</v>
      </c>
      <c r="P28" s="531">
        <f>ROUND(O28/(G28+G36),2)</f>
        <v>280.31</v>
      </c>
    </row>
    <row r="29" spans="2:16">
      <c r="B29" s="38"/>
      <c r="C29" s="37" t="str">
        <f>INDEX(ListeMatières,15)</f>
        <v>Bouteilles HDPE</v>
      </c>
      <c r="D29" s="560">
        <f>INDEX(tblMatières[Quantité générée (tonnes)],MATCH($C29,tblMatières[Matière],0))</f>
        <v>16585.286</v>
      </c>
      <c r="E29" s="561">
        <f>INDEX(tblMatières[Quantité récupérée (tonnes)],MATCH($C29,tblMatières[Matière],0))</f>
        <v>10304.630443688771</v>
      </c>
      <c r="F29" s="561">
        <f t="shared" si="5"/>
        <v>6280.6555563112288</v>
      </c>
      <c r="G29" s="562">
        <f>INDEX(tblMatières[Quantité déclarée (tonnes)],MATCH($C29,tblMatières[Matière],0))</f>
        <v>16585.286</v>
      </c>
      <c r="H29" s="564">
        <f>'Frais de gestion &amp; RQ'!G28</f>
        <v>411534.32861466159</v>
      </c>
      <c r="I29" s="565">
        <f>'Facteur 1'!H28</f>
        <v>1388254.8262048119</v>
      </c>
      <c r="J29" s="566">
        <f>'Facteur 2'!J28</f>
        <v>728322.64580837986</v>
      </c>
      <c r="K29" s="567">
        <f>'Facteur 3'!L28</f>
        <v>186116.80413197383</v>
      </c>
      <c r="L29" s="568">
        <f>'Limitation hausse'!L28</f>
        <v>0</v>
      </c>
      <c r="M29" s="568">
        <f>'Crédit contenu recyclé'!K24</f>
        <v>0</v>
      </c>
      <c r="N29" s="613">
        <f>INDEX(Paramètres!$F$48:$F$77,MATCH(C29,ListeMatières,0))</f>
        <v>0</v>
      </c>
      <c r="O29" s="625">
        <f>SUM(H29:N29)</f>
        <v>2714228.6047598277</v>
      </c>
      <c r="P29" s="563">
        <f>O29/G29</f>
        <v>163.65280675653273</v>
      </c>
    </row>
    <row r="30" spans="2:16">
      <c r="B30" s="38"/>
      <c r="C30" s="37" t="str">
        <f>INDEX(ListeMatières,16)</f>
        <v>Plastiques stratifiés</v>
      </c>
      <c r="D30" s="560">
        <f>INDEX(tblMatières[Quantité générée (tonnes)],MATCH($C30,tblMatières[Matière],0))</f>
        <v>12008.449000000001</v>
      </c>
      <c r="E30" s="561">
        <f>INDEX(tblMatières[Quantité récupérée (tonnes)],MATCH($C30,tblMatières[Matière],0))</f>
        <v>1611.1743447144986</v>
      </c>
      <c r="F30" s="561">
        <f t="shared" si="5"/>
        <v>10397.274655285502</v>
      </c>
      <c r="G30" s="562">
        <f>INDEX(tblMatières[Quantité déclarée (tonnes)],MATCH($C30,tblMatières[Matière],0))</f>
        <v>12008.449000000001</v>
      </c>
      <c r="H30" s="665">
        <f>SUM('Frais de gestion &amp; RQ'!G29:G31)</f>
        <v>1066408.0965354473</v>
      </c>
      <c r="I30" s="664">
        <f>SUM('Facteur 1'!H29:H31)</f>
        <v>7822984.3287286013</v>
      </c>
      <c r="J30" s="663">
        <f>SUM('Facteur 2'!J29:J31)</f>
        <v>4137950.3332390669</v>
      </c>
      <c r="K30" s="666">
        <f>SUM('Facteur 3'!L29:L31)</f>
        <v>7980702.2921823319</v>
      </c>
      <c r="L30" s="677">
        <f>SUM('Limitation hausse'!L29:L31)</f>
        <v>0</v>
      </c>
      <c r="M30" s="677">
        <f>SUM('Crédit contenu recyclé'!K25:K27)</f>
        <v>0</v>
      </c>
      <c r="N30" s="695">
        <f>SUM(Paramètres!F63:F65)</f>
        <v>0</v>
      </c>
      <c r="O30" s="687">
        <f>SUM(H30:N32)</f>
        <v>21008045.05068545</v>
      </c>
      <c r="P30" s="563">
        <f>ROUND(O30/SUM(Tarif!G30:G32),2)</f>
        <v>488.82</v>
      </c>
    </row>
    <row r="31" spans="2:16">
      <c r="B31" s="38"/>
      <c r="C31" s="37" t="str">
        <f>INDEX(ListeMatières,17)</f>
        <v>Pellicules HDPE et LDPE</v>
      </c>
      <c r="D31" s="560">
        <f>INDEX(tblMatières[Quantité générée (tonnes)],MATCH($C31,tblMatières[Matière],0))</f>
        <v>21835.475999999999</v>
      </c>
      <c r="E31" s="561">
        <f>INDEX(tblMatières[Quantité récupérée (tonnes)],MATCH($C31,tblMatières[Matière],0))</f>
        <v>4772.5143538478269</v>
      </c>
      <c r="F31" s="561">
        <f t="shared" si="5"/>
        <v>17062.961646152173</v>
      </c>
      <c r="G31" s="562">
        <f>INDEX(tblMatières[Quantité déclarée (tonnes)],MATCH($C31,tblMatières[Matière],0))</f>
        <v>21835.475999999999</v>
      </c>
      <c r="H31" s="665"/>
      <c r="I31" s="664"/>
      <c r="J31" s="663"/>
      <c r="K31" s="666"/>
      <c r="L31" s="678"/>
      <c r="M31" s="678"/>
      <c r="N31" s="693"/>
      <c r="O31" s="688"/>
      <c r="P31" s="563">
        <f>P30</f>
        <v>488.82</v>
      </c>
    </row>
    <row r="32" spans="2:16">
      <c r="B32" s="38"/>
      <c r="C32" s="37" t="str">
        <f>INDEX(ListeMatières,18)</f>
        <v>Sacs d'emplettes de pellicules HDPE et LDPE</v>
      </c>
      <c r="D32" s="560">
        <f>INDEX(tblMatières[Quantité générée (tonnes)],MATCH($C32,tblMatières[Matière],0))</f>
        <v>9133.4940000000006</v>
      </c>
      <c r="E32" s="561">
        <f>INDEX(tblMatières[Quantité récupérée (tonnes)],MATCH($C32,tblMatières[Matière],0))</f>
        <v>1201.4744535072032</v>
      </c>
      <c r="F32" s="561">
        <f t="shared" si="5"/>
        <v>7932.0195464927974</v>
      </c>
      <c r="G32" s="562">
        <f>INDEX(tblMatières[Quantité déclarée (tonnes)],MATCH($C32,tblMatières[Matière],0))</f>
        <v>9133.4940000000006</v>
      </c>
      <c r="H32" s="665"/>
      <c r="I32" s="664"/>
      <c r="J32" s="663"/>
      <c r="K32" s="666"/>
      <c r="L32" s="679"/>
      <c r="M32" s="679"/>
      <c r="N32" s="694"/>
      <c r="O32" s="689"/>
      <c r="P32" s="563">
        <f>P30</f>
        <v>488.82</v>
      </c>
    </row>
    <row r="33" spans="2:16">
      <c r="B33" s="38"/>
      <c r="C33" s="37" t="str">
        <f>INDEX(ListeMatières,19)</f>
        <v>Polystyrène expansé alimentaire</v>
      </c>
      <c r="D33" s="560">
        <f>INDEX(tblMatières[Quantité générée (tonnes)],MATCH($C33,tblMatières[Matière],0))</f>
        <v>4325.6270000000004</v>
      </c>
      <c r="E33" s="561">
        <f>INDEX(tblMatières[Quantité récupérée (tonnes)],MATCH($C33,tblMatières[Matière],0))</f>
        <v>310.31781478898597</v>
      </c>
      <c r="F33" s="561">
        <f t="shared" si="5"/>
        <v>4015.3091852110147</v>
      </c>
      <c r="G33" s="562">
        <f>INDEX(tblMatières[Quantité déclarée (tonnes)],MATCH($C33,tblMatières[Matière],0))</f>
        <v>4325.6270000000004</v>
      </c>
      <c r="H33" s="598">
        <f>SUM('Frais de gestion &amp; RQ'!G32:G34) + 'Frais de gestion &amp; RQ'!G36</f>
        <v>272879.84910631488</v>
      </c>
      <c r="I33" s="599">
        <f>SUM('Facteur 1'!H32:H34) + 'Facteur 1'!H36</f>
        <v>1895370.1736479509</v>
      </c>
      <c r="J33" s="600">
        <f>SUM('Facteur 2'!J32:J34)+'Facteur 2'!J36</f>
        <v>2136416.628448545</v>
      </c>
      <c r="K33" s="601">
        <f>SUM('Facteur 3'!L32:L34)+'Facteur 3'!L36</f>
        <v>4380613.6098959558</v>
      </c>
      <c r="L33" s="602">
        <f>SUM('Limitation hausse'!L32:L34)+'Limitation hausse'!L36</f>
        <v>0</v>
      </c>
      <c r="M33" s="602">
        <f>SUM('Crédit contenu recyclé'!K28:K30)+'Crédit contenu recyclé'!K32</f>
        <v>0</v>
      </c>
      <c r="N33" s="695">
        <f>SUM(Paramètres!F66:F68)+Paramètres!F70</f>
        <v>0</v>
      </c>
      <c r="O33" s="687">
        <f>SUM(H33:N35)</f>
        <v>8685280.2610987667</v>
      </c>
      <c r="P33" s="563">
        <f>ROUND(O33/(SUM(Tarif!G33:G35) + G37),2)</f>
        <v>789.76</v>
      </c>
    </row>
    <row r="34" spans="2:16">
      <c r="B34" s="266"/>
      <c r="C34" s="37" t="str">
        <f>INDEX(ListeMatières,20)</f>
        <v>Polystyrène expansé de protection</v>
      </c>
      <c r="D34" s="560">
        <f>INDEX(tblMatières[Quantité générée (tonnes)],MATCH($C34,tblMatières[Matière],0))</f>
        <v>1850.1969999999999</v>
      </c>
      <c r="E34" s="561">
        <f>INDEX(tblMatières[Quantité récupérée (tonnes)],MATCH($C34,tblMatières[Matière],0))</f>
        <v>606.7541775293505</v>
      </c>
      <c r="F34" s="561">
        <f>D34-E34</f>
        <v>1243.4428224706494</v>
      </c>
      <c r="G34" s="562">
        <f>INDEX(tblMatières[Quantité déclarée (tonnes)],MATCH($C34,tblMatières[Matière],0))</f>
        <v>1850.1969999999999</v>
      </c>
      <c r="H34" s="603"/>
      <c r="I34" s="604"/>
      <c r="J34" s="605"/>
      <c r="K34" s="606"/>
      <c r="L34" s="607"/>
      <c r="M34" s="607"/>
      <c r="N34" s="693"/>
      <c r="O34" s="688"/>
      <c r="P34" s="563">
        <f>P33</f>
        <v>789.76</v>
      </c>
    </row>
    <row r="35" spans="2:16">
      <c r="B35" s="38"/>
      <c r="C35" s="37" t="str">
        <f>INDEX(ListeMatières,21)</f>
        <v>Polystyrène non expansé</v>
      </c>
      <c r="D35" s="560">
        <f>INDEX(tblMatières[Quantité générée (tonnes)],MATCH($C35,tblMatières[Matière],0))</f>
        <v>4738.9629999999997</v>
      </c>
      <c r="E35" s="561">
        <f>INDEX(tblMatières[Quantité récupérée (tonnes)],MATCH($C35,tblMatières[Matière],0))</f>
        <v>1488.3805294562796</v>
      </c>
      <c r="F35" s="561">
        <f t="shared" si="5"/>
        <v>3250.5824705437199</v>
      </c>
      <c r="G35" s="562">
        <f>INDEX(tblMatières[Quantité déclarée (tonnes)],MATCH($C35,tblMatières[Matière],0))</f>
        <v>4738.9629999999997</v>
      </c>
      <c r="H35" s="608"/>
      <c r="I35" s="609"/>
      <c r="J35" s="610"/>
      <c r="K35" s="611"/>
      <c r="L35" s="612"/>
      <c r="M35" s="612"/>
      <c r="N35" s="694"/>
      <c r="O35" s="689"/>
      <c r="P35" s="563">
        <f>P33</f>
        <v>789.76</v>
      </c>
    </row>
    <row r="36" spans="2:16" ht="14.4">
      <c r="B36" s="38"/>
      <c r="C36" s="37" t="str">
        <f>INDEX(ListeMatières,22)</f>
        <v>Contenants de PET</v>
      </c>
      <c r="D36" s="560">
        <f>INDEX(tblMatières[Quantité générée (tonnes)],MATCH($C36,tblMatières[Matière],0))</f>
        <v>7338.1760000000004</v>
      </c>
      <c r="E36" s="561">
        <f>INDEX(tblMatières[Quantité récupérée (tonnes)],MATCH($C36,tblMatières[Matière],0))</f>
        <v>3577.9912878235536</v>
      </c>
      <c r="F36" s="561">
        <f t="shared" si="5"/>
        <v>3760.1847121764467</v>
      </c>
      <c r="G36" s="562">
        <f>INDEX(tblMatières[Quantité déclarée (tonnes)],MATCH($C36,tblMatières[Matière],0))</f>
        <v>7338.1760000000004</v>
      </c>
      <c r="H36" s="690" t="s">
        <v>206</v>
      </c>
      <c r="I36" s="691"/>
      <c r="J36" s="691"/>
      <c r="K36" s="691"/>
      <c r="L36" s="691"/>
      <c r="M36" s="691"/>
      <c r="N36" s="691"/>
      <c r="O36" s="692"/>
      <c r="P36" s="563">
        <f>P28</f>
        <v>280.31</v>
      </c>
    </row>
    <row r="37" spans="2:16" ht="14.4">
      <c r="B37" s="38"/>
      <c r="C37" s="37" t="str">
        <f>INDEX(ListeMatières,23)</f>
        <v>Acide polylactique (PLA) et autres plastiques dégradables</v>
      </c>
      <c r="D37" s="560">
        <f>INDEX(tblMatières[Quantité générée (tonnes)],MATCH($C37,tblMatières[Matière],0))</f>
        <v>82.570999999999998</v>
      </c>
      <c r="E37" s="561">
        <f>INDEX(tblMatières[Quantité récupérée (tonnes)],MATCH($C37,tblMatières[Matière],0))</f>
        <v>16.990421072658968</v>
      </c>
      <c r="F37" s="561">
        <f t="shared" si="5"/>
        <v>65.580578927341037</v>
      </c>
      <c r="G37" s="562">
        <f>INDEX(tblMatières[Quantité déclarée (tonnes)],MATCH($C37,tblMatières[Matière],0))</f>
        <v>82.570999999999998</v>
      </c>
      <c r="H37" s="690" t="s">
        <v>205</v>
      </c>
      <c r="I37" s="691"/>
      <c r="J37" s="691"/>
      <c r="K37" s="691"/>
      <c r="L37" s="691"/>
      <c r="M37" s="691"/>
      <c r="N37" s="691"/>
      <c r="O37" s="692"/>
      <c r="P37" s="563">
        <f>P33</f>
        <v>789.76</v>
      </c>
    </row>
    <row r="38" spans="2:16">
      <c r="B38" s="38"/>
      <c r="C38" s="37" t="str">
        <f>INDEX(ListeMatières,24)</f>
        <v>Autres plastiques, polymères et polyuréthanne</v>
      </c>
      <c r="D38" s="58">
        <f>INDEX(tblMatières[Quantité générée (tonnes)],MATCH($C38,tblMatières[Matière],0))</f>
        <v>33170.372000000003</v>
      </c>
      <c r="E38" s="26">
        <f>INDEX(tblMatières[Quantité récupérée (tonnes)],MATCH($C38,tblMatières[Matière],0))</f>
        <v>12075.576019317883</v>
      </c>
      <c r="F38" s="26">
        <f t="shared" si="5"/>
        <v>21094.79598068212</v>
      </c>
      <c r="G38" s="48">
        <f>INDEX(tblMatières[Quantité déclarée (tonnes)],MATCH($C38,tblMatières[Matière],0))</f>
        <v>33170.372000000003</v>
      </c>
      <c r="H38" s="564">
        <f>'Frais de gestion &amp; RQ'!G37</f>
        <v>823063.69458558457</v>
      </c>
      <c r="I38" s="565">
        <f>'Facteur 1'!H37</f>
        <v>4662722.2374199955</v>
      </c>
      <c r="J38" s="566">
        <f>'Facteur 2'!J37</f>
        <v>2885978.946862781</v>
      </c>
      <c r="K38" s="567">
        <f>'Facteur 3'!L37</f>
        <v>2113731.6448578639</v>
      </c>
      <c r="L38" s="494">
        <f>'Limitation hausse'!L37</f>
        <v>0</v>
      </c>
      <c r="M38" s="494">
        <f>'Crédit contenu recyclé'!K33</f>
        <v>0</v>
      </c>
      <c r="N38" s="613">
        <f>Paramètres!F71</f>
        <v>0</v>
      </c>
      <c r="O38" s="625">
        <f>SUM(H38:N38)</f>
        <v>10485496.523726225</v>
      </c>
      <c r="P38" s="531">
        <f>ROUND(O38 /G38,2)</f>
        <v>316.11</v>
      </c>
    </row>
    <row r="39" spans="2:16" s="6" customFormat="1">
      <c r="B39" s="43" t="str">
        <f>'Sommaire exécutif'!A37</f>
        <v>Plastique TOTAL</v>
      </c>
      <c r="C39" s="10"/>
      <c r="D39" s="61">
        <f>SUBTOTAL(9,D28:D38)</f>
        <v>134396.49200000003</v>
      </c>
      <c r="E39" s="24">
        <f t="shared" ref="E39:O39" si="6">SUBTOTAL(9,E28:E38)</f>
        <v>49678.553622219813</v>
      </c>
      <c r="F39" s="24">
        <f t="shared" si="6"/>
        <v>84717.938377780185</v>
      </c>
      <c r="G39" s="30">
        <f t="shared" si="6"/>
        <v>134396.49200000003</v>
      </c>
      <c r="H39" s="495">
        <f t="shared" si="6"/>
        <v>3334809.547654815</v>
      </c>
      <c r="I39" s="495">
        <f t="shared" si="6"/>
        <v>18725766.086773001</v>
      </c>
      <c r="J39" s="495">
        <f t="shared" si="6"/>
        <v>13441578.484828526</v>
      </c>
      <c r="K39" s="495">
        <f t="shared" si="6"/>
        <v>15858027.645722251</v>
      </c>
      <c r="L39" s="495">
        <f t="shared" si="6"/>
        <v>0</v>
      </c>
      <c r="M39" s="495">
        <f t="shared" si="6"/>
        <v>128941.08616307061</v>
      </c>
      <c r="N39" s="495">
        <f t="shared" si="6"/>
        <v>0</v>
      </c>
      <c r="O39" s="616">
        <f t="shared" si="6"/>
        <v>51489122.851141661</v>
      </c>
      <c r="P39" s="536">
        <f>SUMPRODUCT(P28:P38,G28:G38)/SUM(G28:G38)</f>
        <v>383.11426123391533</v>
      </c>
    </row>
    <row r="40" spans="2:16">
      <c r="B40" s="46" t="str">
        <f>'Sommaire exécutif'!A38</f>
        <v>Aluminium</v>
      </c>
      <c r="C40" s="37" t="str">
        <f>INDEX(ListeMatières,25)</f>
        <v>Contenants pour aliments et breuvages en aluminium</v>
      </c>
      <c r="D40" s="58">
        <f>INDEX(tblMatières[Quantité générée (tonnes)],MATCH($C40,tblMatières[Matière],0))</f>
        <v>2927.57</v>
      </c>
      <c r="E40" s="26">
        <f>INDEX(tblMatières[Quantité récupérée (tonnes)],MATCH($C40,tblMatières[Matière],0))</f>
        <v>1291.1594981629264</v>
      </c>
      <c r="F40" s="26">
        <f>D40-E40</f>
        <v>1636.4105018370738</v>
      </c>
      <c r="G40" s="48">
        <f>INDEX(tblMatières[Quantité déclarée (tonnes)],MATCH($C40,tblMatières[Matière],0))</f>
        <v>2927.57</v>
      </c>
      <c r="H40" s="696">
        <f>SUM('Frais de gestion &amp; RQ'!G39:G40)</f>
        <v>126976.53047720042</v>
      </c>
      <c r="I40" s="698">
        <f>SUM('Facteur 1'!H39:H40)</f>
        <v>772387.94534919981</v>
      </c>
      <c r="J40" s="700">
        <f>SUM('Facteur 2'!J39:J40)</f>
        <v>-250230.09980901447</v>
      </c>
      <c r="K40" s="702">
        <f>SUM('Facteur 3'!L39:L40)</f>
        <v>0</v>
      </c>
      <c r="L40" s="680">
        <f>SUM('Limitation hausse'!L39:L40)</f>
        <v>0</v>
      </c>
      <c r="M40" s="680">
        <f>'Crédit contenu recyclé'!K35+'Crédit contenu recyclé'!K36</f>
        <v>0</v>
      </c>
      <c r="N40" s="670">
        <f>SUM(Paramètres!F72:F73)</f>
        <v>0</v>
      </c>
      <c r="O40" s="672">
        <f>SUM(H40:N41)</f>
        <v>649134.37601738574</v>
      </c>
      <c r="P40" s="563">
        <f>ROUND(O40/SUM(Tarif!G40:G41),2)</f>
        <v>129.62</v>
      </c>
    </row>
    <row r="41" spans="2:16">
      <c r="B41" s="46"/>
      <c r="C41" s="37" t="str">
        <f>INDEX(ListeMatières,26)</f>
        <v>Autres contenants et emballages en aluminium</v>
      </c>
      <c r="D41" s="560">
        <f>INDEX(tblMatières[Quantité générée (tonnes)],MATCH($C41,tblMatières[Matière],0))</f>
        <v>2080.3110000000001</v>
      </c>
      <c r="E41" s="561">
        <f>INDEX(tblMatières[Quantité récupérée (tonnes)],MATCH($C41,tblMatières[Matière],0))</f>
        <v>222.33232413320127</v>
      </c>
      <c r="F41" s="561">
        <f>D41-E41</f>
        <v>1857.9786758667988</v>
      </c>
      <c r="G41" s="562">
        <f>INDEX(tblMatières[Quantité déclarée (tonnes)],MATCH($C41,tblMatières[Matière],0))</f>
        <v>2080.3110000000001</v>
      </c>
      <c r="H41" s="697"/>
      <c r="I41" s="699"/>
      <c r="J41" s="701"/>
      <c r="K41" s="703"/>
      <c r="L41" s="681"/>
      <c r="M41" s="681"/>
      <c r="N41" s="671"/>
      <c r="O41" s="673"/>
      <c r="P41" s="563">
        <f>P40</f>
        <v>129.62</v>
      </c>
    </row>
    <row r="42" spans="2:16" s="6" customFormat="1">
      <c r="B42" s="43" t="str">
        <f>'Sommaire exécutif'!A40</f>
        <v>Aluminium TOTAL</v>
      </c>
      <c r="C42" s="10"/>
      <c r="D42" s="60">
        <f>SUBTOTAL(9,D40:D41)</f>
        <v>5007.8810000000003</v>
      </c>
      <c r="E42" s="22">
        <f t="shared" ref="E42:O42" si="7">SUBTOTAL(9,E40:E41)</f>
        <v>1513.4918222961278</v>
      </c>
      <c r="F42" s="22">
        <f t="shared" si="7"/>
        <v>3494.3891777038725</v>
      </c>
      <c r="G42" s="29">
        <f t="shared" si="7"/>
        <v>5007.8810000000003</v>
      </c>
      <c r="H42" s="495">
        <f t="shared" si="7"/>
        <v>126976.53047720042</v>
      </c>
      <c r="I42" s="495">
        <f t="shared" si="7"/>
        <v>772387.94534919981</v>
      </c>
      <c r="J42" s="495">
        <f t="shared" si="7"/>
        <v>-250230.09980901447</v>
      </c>
      <c r="K42" s="495">
        <f t="shared" si="7"/>
        <v>0</v>
      </c>
      <c r="L42" s="528">
        <f t="shared" si="7"/>
        <v>0</v>
      </c>
      <c r="M42" s="528">
        <f t="shared" si="7"/>
        <v>0</v>
      </c>
      <c r="N42" s="528">
        <f t="shared" si="7"/>
        <v>0</v>
      </c>
      <c r="O42" s="617">
        <f t="shared" si="7"/>
        <v>649134.37601738574</v>
      </c>
      <c r="P42" s="536">
        <f>SUMPRODUCT(P40:P41,G40:G41)/SUM(G40:G41)</f>
        <v>129.62</v>
      </c>
    </row>
    <row r="43" spans="2:16">
      <c r="B43" s="46" t="str">
        <f>'Sommaire exécutif'!A41</f>
        <v>Acier</v>
      </c>
      <c r="C43" s="37" t="str">
        <f>INDEX(ListeMatières,27)</f>
        <v>Bombes aérosol en acier</v>
      </c>
      <c r="D43" s="58">
        <f>INDEX(tblMatières[Quantité générée (tonnes)],MATCH($C43,tblMatières[Matière],0))</f>
        <v>1674.335</v>
      </c>
      <c r="E43" s="26">
        <f>INDEX(tblMatières[Quantité récupérée (tonnes)],MATCH($C43,tblMatières[Matière],0))</f>
        <v>310.15292443013641</v>
      </c>
      <c r="F43" s="26">
        <f>D43-E43</f>
        <v>1364.1820755698636</v>
      </c>
      <c r="G43" s="48">
        <f>INDEX(tblMatières[Quantité déclarée (tonnes)],MATCH($C43,tblMatières[Matière],0))</f>
        <v>1674.335</v>
      </c>
      <c r="H43" s="696">
        <f>SUM('Frais de gestion &amp; RQ'!G42:G43)</f>
        <v>722888.0998015512</v>
      </c>
      <c r="I43" s="698">
        <f>SUM('Facteur 1'!H42:H43)</f>
        <v>2913016.5131169381</v>
      </c>
      <c r="J43" s="700">
        <f>SUM('Facteur 2'!J42:J43)</f>
        <v>717678.43542422052</v>
      </c>
      <c r="K43" s="702">
        <f>SUM('Facteur 3'!L42:L43)</f>
        <v>254810.1735356084</v>
      </c>
      <c r="L43" s="680">
        <f>SUM('Limitation hausse'!L42:L43)</f>
        <v>0</v>
      </c>
      <c r="M43" s="680">
        <f>'Crédit contenu recyclé'!K38+'Crédit contenu recyclé'!K39</f>
        <v>0</v>
      </c>
      <c r="N43" s="682">
        <f>SUM(Paramètres!F74:F75)</f>
        <v>-149393.91435999947</v>
      </c>
      <c r="O43" s="672">
        <f>SUM(H43:N44)</f>
        <v>4458999.3075183183</v>
      </c>
      <c r="P43" s="563">
        <f>ROUND(O43 /SUM(Tarif!G43:G44),2)</f>
        <v>156.4</v>
      </c>
    </row>
    <row r="44" spans="2:16">
      <c r="B44" s="46"/>
      <c r="C44" s="37" t="str">
        <f>INDEX(ListeMatières,28)</f>
        <v>Autres contenants en acier</v>
      </c>
      <c r="D44" s="560">
        <f>INDEX(tblMatières[Quantité générée (tonnes)],MATCH($C44,tblMatières[Matière],0))</f>
        <v>26835.954000000002</v>
      </c>
      <c r="E44" s="561">
        <f>INDEX(tblMatières[Quantité récupérée (tonnes)],MATCH($C44,tblMatières[Matière],0))</f>
        <v>15021.2491713906</v>
      </c>
      <c r="F44" s="561">
        <f>D44-E44</f>
        <v>11814.704828609401</v>
      </c>
      <c r="G44" s="562">
        <f>INDEX(tblMatières[Quantité déclarée (tonnes)],MATCH($C44,tblMatières[Matière],0))</f>
        <v>26835.954000000002</v>
      </c>
      <c r="H44" s="697"/>
      <c r="I44" s="699"/>
      <c r="J44" s="701"/>
      <c r="K44" s="703"/>
      <c r="L44" s="681"/>
      <c r="M44" s="681"/>
      <c r="N44" s="683"/>
      <c r="O44" s="673"/>
      <c r="P44" s="563">
        <f>P43</f>
        <v>156.4</v>
      </c>
    </row>
    <row r="45" spans="2:16">
      <c r="B45" s="43" t="str">
        <f>'Sommaire exécutif'!A43</f>
        <v>Acier TOTAL</v>
      </c>
      <c r="C45" s="10"/>
      <c r="D45" s="60">
        <f t="shared" ref="D45:O45" si="8">SUBTOTAL(9,D43:D44)</f>
        <v>28510.289000000001</v>
      </c>
      <c r="E45" s="22">
        <f t="shared" si="8"/>
        <v>15331.402095820737</v>
      </c>
      <c r="F45" s="22">
        <f t="shared" si="8"/>
        <v>13178.886904179264</v>
      </c>
      <c r="G45" s="29">
        <f t="shared" si="8"/>
        <v>28510.289000000001</v>
      </c>
      <c r="H45" s="495">
        <f t="shared" si="8"/>
        <v>722888.0998015512</v>
      </c>
      <c r="I45" s="495">
        <f t="shared" si="8"/>
        <v>2913016.5131169381</v>
      </c>
      <c r="J45" s="495">
        <f t="shared" si="8"/>
        <v>717678.43542422052</v>
      </c>
      <c r="K45" s="495">
        <f t="shared" si="8"/>
        <v>254810.1735356084</v>
      </c>
      <c r="L45" s="495">
        <f t="shared" si="8"/>
        <v>0</v>
      </c>
      <c r="M45" s="495">
        <f t="shared" si="8"/>
        <v>0</v>
      </c>
      <c r="N45" s="495">
        <f t="shared" si="8"/>
        <v>-149393.91435999947</v>
      </c>
      <c r="O45" s="616">
        <f t="shared" si="8"/>
        <v>4458999.3075183183</v>
      </c>
      <c r="P45" s="536">
        <f>SUMPRODUCT(P43:P44,G43:G44)/SUM(G43:G44)</f>
        <v>156.4</v>
      </c>
    </row>
    <row r="46" spans="2:16">
      <c r="B46" s="46" t="str">
        <f>'Sommaire exécutif'!A44</f>
        <v>Verre</v>
      </c>
      <c r="C46" s="37" t="str">
        <f>INDEX(ListeMatières,29)</f>
        <v>Verre clair</v>
      </c>
      <c r="D46" s="58">
        <f>INDEX(tblMatières[Quantité générée (tonnes)],MATCH($C46,tblMatières[Matière],0))</f>
        <v>52387.877</v>
      </c>
      <c r="E46" s="26">
        <f>INDEX(tblMatières[Quantité récupérée (tonnes)],MATCH($C46,tblMatières[Matière],0))</f>
        <v>40467.652103728469</v>
      </c>
      <c r="F46" s="26">
        <f>D46-E46</f>
        <v>11920.224896271531</v>
      </c>
      <c r="G46" s="48">
        <f>INDEX(tblMatières[Quantité déclarée (tonnes)],MATCH($C46,tblMatières[Matière],0))</f>
        <v>52387.877</v>
      </c>
      <c r="H46" s="564">
        <f>'Frais de gestion &amp; RQ'!G45</f>
        <v>170344.15188557538</v>
      </c>
      <c r="I46" s="565">
        <f>'Facteur 1'!H45</f>
        <v>2634806.1270557726</v>
      </c>
      <c r="J46" s="566">
        <f>'Facteur 2'!J45</f>
        <v>6461134.6367672756</v>
      </c>
      <c r="K46" s="567">
        <f>'Facteur 3'!L45</f>
        <v>797947.74170687865</v>
      </c>
      <c r="L46" s="568">
        <f>'Limitation hausse'!L45</f>
        <v>0</v>
      </c>
      <c r="M46" s="568">
        <f>'Crédit contenu recyclé'!K41</f>
        <v>0</v>
      </c>
      <c r="N46" s="613">
        <f>Paramètres!F76</f>
        <v>-436391.01541000063</v>
      </c>
      <c r="O46" s="624">
        <f>SUM(H46:N46)</f>
        <v>9627841.6420055013</v>
      </c>
      <c r="P46" s="563">
        <f>ROUND(O46/G46,2)</f>
        <v>183.78</v>
      </c>
    </row>
    <row r="47" spans="2:16">
      <c r="B47" s="46"/>
      <c r="C47" s="242" t="str">
        <f>INDEX(ListeMatières,30)</f>
        <v>Verre coloré</v>
      </c>
      <c r="D47" s="560">
        <f>INDEX(tblMatières[Quantité générée (tonnes)],MATCH($C47,tblMatières[Matière],0))</f>
        <v>80574.570000000007</v>
      </c>
      <c r="E47" s="561">
        <f>INDEX(tblMatières[Quantité récupérée (tonnes)],MATCH($C47,tblMatières[Matière],0))</f>
        <v>62240.805581175147</v>
      </c>
      <c r="F47" s="561">
        <f>D47-E47</f>
        <v>18333.76441882486</v>
      </c>
      <c r="G47" s="562">
        <f>INDEX(tblMatières[Quantité déclarée (tonnes)],MATCH($C47,tblMatières[Matière],0))</f>
        <v>80574.570000000007</v>
      </c>
      <c r="H47" s="564">
        <f>'Frais de gestion &amp; RQ'!G46</f>
        <v>261995.85812944712</v>
      </c>
      <c r="I47" s="565">
        <f>'Facteur 1'!H46</f>
        <v>4052433.1749668769</v>
      </c>
      <c r="J47" s="566">
        <f>'Facteur 2'!J46</f>
        <v>9994938.0450605303</v>
      </c>
      <c r="K47" s="567">
        <f>'Facteur 3'!L46</f>
        <v>1234371.1576867243</v>
      </c>
      <c r="L47" s="568">
        <f>'Limitation hausse'!L46</f>
        <v>0</v>
      </c>
      <c r="M47" s="568">
        <f>'Crédit contenu recyclé'!K42</f>
        <v>0</v>
      </c>
      <c r="N47" s="613">
        <f>Paramètres!F77</f>
        <v>-673603.40519999887</v>
      </c>
      <c r="O47" s="625">
        <f>SUM(H47:N47)</f>
        <v>14870134.830643581</v>
      </c>
      <c r="P47" s="563">
        <f>ROUND(O47/G47,2)</f>
        <v>184.55</v>
      </c>
    </row>
    <row r="48" spans="2:16" s="6" customFormat="1" ht="14.4" thickBot="1">
      <c r="B48" s="57" t="str">
        <f>'Sommaire exécutif'!A46</f>
        <v>Verre TOTAL</v>
      </c>
      <c r="C48" s="14"/>
      <c r="D48" s="214">
        <f t="shared" ref="D48:K48" si="9">SUBTOTAL(9,D46:D47)</f>
        <v>132962.44700000001</v>
      </c>
      <c r="E48" s="220">
        <f t="shared" si="9"/>
        <v>102708.45768490361</v>
      </c>
      <c r="F48" s="220">
        <f t="shared" si="9"/>
        <v>30253.989315096391</v>
      </c>
      <c r="G48" s="548">
        <f t="shared" si="9"/>
        <v>132962.44700000001</v>
      </c>
      <c r="H48" s="497">
        <f t="shared" si="9"/>
        <v>432340.01001502248</v>
      </c>
      <c r="I48" s="497">
        <f t="shared" si="9"/>
        <v>6687239.302022649</v>
      </c>
      <c r="J48" s="497">
        <f t="shared" si="9"/>
        <v>16456072.681827806</v>
      </c>
      <c r="K48" s="497">
        <f t="shared" si="9"/>
        <v>2032318.899393603</v>
      </c>
      <c r="L48" s="497">
        <f t="shared" ref="L48:O48" si="10">SUBTOTAL(9,L46:L47)</f>
        <v>0</v>
      </c>
      <c r="M48" s="497">
        <f t="shared" si="10"/>
        <v>0</v>
      </c>
      <c r="N48" s="497">
        <f t="shared" ref="N48" si="11">SUBTOTAL(9,N46:N47)</f>
        <v>-1109994.4206099994</v>
      </c>
      <c r="O48" s="618">
        <f t="shared" si="10"/>
        <v>24497976.472649083</v>
      </c>
      <c r="P48" s="549">
        <f>SUMPRODUCT(P46:P47,G46:G47)/SUM(G46:G47)</f>
        <v>184.24661610326712</v>
      </c>
    </row>
    <row r="49" spans="2:16" s="6" customFormat="1" ht="15" thickTop="1" thickBot="1">
      <c r="B49" s="56" t="str">
        <f>'Sommaire exécutif'!A47</f>
        <v>CONTENANTS ET EMBALLAGES TOTAL</v>
      </c>
      <c r="C49" s="23"/>
      <c r="D49" s="291">
        <f>SUBTOTAL(9,D20:D48)</f>
        <v>479048.94300000003</v>
      </c>
      <c r="E49" s="546">
        <f t="shared" ref="E49:K49" si="12">SUBTOTAL(9,E20:E48)</f>
        <v>274825.51177788019</v>
      </c>
      <c r="F49" s="546">
        <f t="shared" si="12"/>
        <v>204223.43122211983</v>
      </c>
      <c r="G49" s="547">
        <f t="shared" si="12"/>
        <v>479048.94300000003</v>
      </c>
      <c r="H49" s="496">
        <f t="shared" si="12"/>
        <v>6719452.6790185273</v>
      </c>
      <c r="I49" s="496">
        <f t="shared" si="12"/>
        <v>45140855.357578099</v>
      </c>
      <c r="J49" s="496">
        <f t="shared" si="12"/>
        <v>45140855.357578099</v>
      </c>
      <c r="K49" s="496">
        <f t="shared" si="12"/>
        <v>22570427.678789046</v>
      </c>
      <c r="L49" s="496">
        <f t="shared" ref="L49:O49" si="13">SUBTOTAL(9,L20:L48)</f>
        <v>0</v>
      </c>
      <c r="M49" s="496">
        <f t="shared" si="13"/>
        <v>128941.08616307061</v>
      </c>
      <c r="N49" s="496">
        <f t="shared" ref="N49" si="14">SUBTOTAL(9,N20:N48)</f>
        <v>-1581385.3287099996</v>
      </c>
      <c r="O49" s="615">
        <f t="shared" si="13"/>
        <v>118119146.83041686</v>
      </c>
      <c r="P49" s="537">
        <f>(P27*G27 + P39*G39 + P42*G42 + P45*G45 + P48*G48) / G49</f>
        <v>246.57062562023484</v>
      </c>
    </row>
    <row r="50" spans="2:16" ht="6" customHeight="1">
      <c r="B50" s="38"/>
      <c r="D50" s="38"/>
      <c r="G50" s="8"/>
      <c r="H50" s="303"/>
      <c r="I50" s="308"/>
      <c r="J50" s="308"/>
      <c r="K50" s="308"/>
      <c r="L50" s="303"/>
      <c r="M50" s="303"/>
      <c r="N50" s="303"/>
      <c r="O50" s="621"/>
      <c r="P50" s="534"/>
    </row>
    <row r="51" spans="2:16" s="6" customFormat="1" ht="14.4" thickBot="1">
      <c r="B51" s="57" t="str">
        <f>'Sommaire exécutif'!A49</f>
        <v>TOTAL</v>
      </c>
      <c r="C51" s="14"/>
      <c r="D51" s="62">
        <f>SUBTOTAL(9,D11:D49)</f>
        <v>637067.77300000004</v>
      </c>
      <c r="E51" s="25">
        <f t="shared" ref="E51:O51" si="15">SUBTOTAL(9,E11:E49)</f>
        <v>400693.19399743015</v>
      </c>
      <c r="F51" s="25">
        <f t="shared" si="15"/>
        <v>236374.5790025699</v>
      </c>
      <c r="G51" s="31">
        <f t="shared" si="15"/>
        <v>637067.77300000004</v>
      </c>
      <c r="H51" s="497">
        <f t="shared" si="15"/>
        <v>8069000</v>
      </c>
      <c r="I51" s="497">
        <f t="shared" si="15"/>
        <v>57320724.536117949</v>
      </c>
      <c r="J51" s="497">
        <f t="shared" si="15"/>
        <v>57320724.536117949</v>
      </c>
      <c r="K51" s="497">
        <f t="shared" si="15"/>
        <v>28660362.268058967</v>
      </c>
      <c r="L51" s="497">
        <f t="shared" si="15"/>
        <v>0</v>
      </c>
      <c r="M51" s="497">
        <f t="shared" si="15"/>
        <v>613193.17145237804</v>
      </c>
      <c r="N51" s="497">
        <f t="shared" si="15"/>
        <v>-1581385.3287099996</v>
      </c>
      <c r="O51" s="618">
        <f t="shared" si="15"/>
        <v>150402619.18303725</v>
      </c>
      <c r="P51" s="535">
        <f>(P17*G17 + P49*G49)/G51</f>
        <v>236.08643268722088</v>
      </c>
    </row>
    <row r="52" spans="2:16" ht="14.4" thickTop="1">
      <c r="B52" s="37"/>
      <c r="H52" s="37"/>
    </row>
    <row r="53" spans="2:16">
      <c r="H53" s="37"/>
    </row>
    <row r="54" spans="2:16">
      <c r="H54" s="37"/>
    </row>
    <row r="55" spans="2:16">
      <c r="C55" s="37"/>
      <c r="D55" s="457"/>
      <c r="H55" s="37"/>
    </row>
    <row r="56" spans="2:16">
      <c r="D56" s="457"/>
      <c r="H56" s="37"/>
    </row>
    <row r="57" spans="2:16">
      <c r="H57" s="37"/>
    </row>
    <row r="58" spans="2:16">
      <c r="H58" s="37"/>
    </row>
    <row r="59" spans="2:16">
      <c r="H59" s="37"/>
    </row>
    <row r="60" spans="2:16">
      <c r="H60" s="37"/>
    </row>
    <row r="61" spans="2:16">
      <c r="H61" s="37"/>
    </row>
    <row r="62" spans="2:16">
      <c r="H62" s="37"/>
    </row>
    <row r="63" spans="2:16">
      <c r="H63" s="37"/>
    </row>
    <row r="64" spans="2:16">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sheetData>
  <sheetProtection password="82A0" sheet="1" objects="1" scenarios="1"/>
  <dataConsolidate link="1"/>
  <mergeCells count="46">
    <mergeCell ref="D7:G7"/>
    <mergeCell ref="K12:K16"/>
    <mergeCell ref="H12:H16"/>
    <mergeCell ref="I12:I16"/>
    <mergeCell ref="J12:J16"/>
    <mergeCell ref="H7:O7"/>
    <mergeCell ref="N12:N16"/>
    <mergeCell ref="O12:O16"/>
    <mergeCell ref="L12:L16"/>
    <mergeCell ref="M12:M16"/>
    <mergeCell ref="H43:H44"/>
    <mergeCell ref="I43:I44"/>
    <mergeCell ref="J43:J44"/>
    <mergeCell ref="K43:K44"/>
    <mergeCell ref="K40:K41"/>
    <mergeCell ref="H40:H41"/>
    <mergeCell ref="I40:I41"/>
    <mergeCell ref="J40:J41"/>
    <mergeCell ref="L43:L44"/>
    <mergeCell ref="M40:M41"/>
    <mergeCell ref="L20:L22"/>
    <mergeCell ref="L30:L32"/>
    <mergeCell ref="L40:L41"/>
    <mergeCell ref="N40:N41"/>
    <mergeCell ref="O43:O44"/>
    <mergeCell ref="M20:M22"/>
    <mergeCell ref="M30:M32"/>
    <mergeCell ref="M43:M44"/>
    <mergeCell ref="N43:N44"/>
    <mergeCell ref="O20:O22"/>
    <mergeCell ref="O30:O32"/>
    <mergeCell ref="O33:O35"/>
    <mergeCell ref="O40:O41"/>
    <mergeCell ref="H36:O36"/>
    <mergeCell ref="H37:O37"/>
    <mergeCell ref="N20:N22"/>
    <mergeCell ref="N30:N32"/>
    <mergeCell ref="N33:N35"/>
    <mergeCell ref="K30:K32"/>
    <mergeCell ref="J30:J32"/>
    <mergeCell ref="I30:I32"/>
    <mergeCell ref="H30:H32"/>
    <mergeCell ref="K20:K22"/>
    <mergeCell ref="J20:J22"/>
    <mergeCell ref="I20:I22"/>
    <mergeCell ref="H20:H22"/>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 sqref="N20 N30 N40 N43 N12"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8"/>
  <sheetViews>
    <sheetView showGridLines="0" tabSelected="1"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I9" sqref="I9"/>
    </sheetView>
  </sheetViews>
  <sheetFormatPr baseColWidth="10" defaultColWidth="9.109375" defaultRowHeight="14.4"/>
  <cols>
    <col min="1" max="1" width="25.109375" customWidth="1"/>
    <col min="2" max="2" width="52.109375" bestFit="1" customWidth="1"/>
    <col min="3" max="3" width="20.88671875" bestFit="1" customWidth="1"/>
    <col min="4" max="4" width="19" bestFit="1" customWidth="1"/>
    <col min="5" max="5" width="21" bestFit="1" customWidth="1"/>
    <col min="6" max="6" width="21" customWidth="1"/>
    <col min="7" max="7" width="19.5546875" customWidth="1"/>
    <col min="8" max="8" width="19.6640625" bestFit="1" customWidth="1"/>
    <col min="9" max="9" width="14.109375" customWidth="1"/>
    <col min="10" max="10" width="10.88671875" customWidth="1"/>
    <col min="11" max="11" width="11.6640625" customWidth="1"/>
  </cols>
  <sheetData>
    <row r="1" spans="1:11" s="159" customFormat="1" ht="16.2" thickBot="1">
      <c r="A1" s="445" t="s">
        <v>61</v>
      </c>
      <c r="B1" s="36"/>
      <c r="E1" s="182"/>
      <c r="F1" s="182"/>
    </row>
    <row r="2" spans="1:11" ht="15" thickBot="1">
      <c r="A2" s="35"/>
      <c r="B2" s="35"/>
      <c r="E2" s="16"/>
      <c r="F2" s="16"/>
    </row>
    <row r="3" spans="1:11" ht="18" thickBot="1">
      <c r="A3" s="93" t="str">
        <f>Paramètres!B4</f>
        <v>Tarif</v>
      </c>
      <c r="B3" s="94">
        <f>AnnéeTarif</f>
        <v>2016</v>
      </c>
      <c r="C3" s="246"/>
      <c r="D3" s="248"/>
      <c r="E3" s="247"/>
      <c r="F3" s="247"/>
      <c r="G3" s="248"/>
      <c r="H3" s="248"/>
      <c r="I3" s="248"/>
      <c r="J3" s="248"/>
      <c r="K3" s="248"/>
    </row>
    <row r="4" spans="1:11" ht="18" thickBot="1">
      <c r="A4" s="93" t="str">
        <f>Paramètres!B5</f>
        <v>Scénario</v>
      </c>
      <c r="B4" s="245" t="str">
        <f>Paramètres!C5</f>
        <v>Publication Juillet 2016</v>
      </c>
      <c r="C4" s="248"/>
      <c r="E4" s="16"/>
      <c r="F4" s="16"/>
    </row>
    <row r="5" spans="1:11" ht="18" thickBot="1">
      <c r="A5" s="93" t="str">
        <f>Paramètres!B6</f>
        <v>Année de référence</v>
      </c>
      <c r="B5" s="94">
        <f>AnnéeRéf</f>
        <v>2015</v>
      </c>
      <c r="C5" s="158"/>
      <c r="D5" s="342"/>
      <c r="E5" s="342"/>
      <c r="F5" s="342"/>
      <c r="G5" s="342"/>
      <c r="H5" s="342"/>
      <c r="I5" s="159"/>
      <c r="J5" s="159"/>
      <c r="K5" s="159"/>
    </row>
    <row r="6" spans="1:11" ht="15.75" customHeight="1">
      <c r="A6" s="105"/>
      <c r="B6" s="105"/>
      <c r="C6" s="637" t="s">
        <v>99</v>
      </c>
      <c r="D6" s="638"/>
      <c r="E6" s="638"/>
      <c r="F6" s="638"/>
      <c r="G6" s="638"/>
      <c r="H6" s="639"/>
      <c r="I6" s="175" t="s">
        <v>80</v>
      </c>
      <c r="J6" s="637" t="s">
        <v>81</v>
      </c>
      <c r="K6" s="639"/>
    </row>
    <row r="7" spans="1:11" ht="41.4">
      <c r="A7" s="42" t="s">
        <v>207</v>
      </c>
      <c r="B7" s="9" t="s">
        <v>127</v>
      </c>
      <c r="C7" s="185" t="s">
        <v>185</v>
      </c>
      <c r="D7" s="169" t="s">
        <v>177</v>
      </c>
      <c r="E7" s="169" t="s">
        <v>178</v>
      </c>
      <c r="F7" s="286" t="s">
        <v>179</v>
      </c>
      <c r="G7" s="169" t="s">
        <v>186</v>
      </c>
      <c r="H7" s="267" t="s">
        <v>187</v>
      </c>
      <c r="I7" s="169" t="s">
        <v>232</v>
      </c>
      <c r="J7" s="185" t="s">
        <v>204</v>
      </c>
      <c r="K7" s="267" t="s">
        <v>156</v>
      </c>
    </row>
    <row r="8" spans="1:11">
      <c r="A8" s="43" t="s">
        <v>29</v>
      </c>
      <c r="B8" s="11"/>
      <c r="C8" s="162"/>
      <c r="D8" s="142"/>
      <c r="E8" s="142"/>
      <c r="F8" s="142"/>
      <c r="G8" s="142"/>
      <c r="H8" s="143"/>
      <c r="I8" s="142"/>
      <c r="J8" s="162"/>
      <c r="K8" s="143"/>
    </row>
    <row r="9" spans="1:11">
      <c r="A9" s="63"/>
      <c r="B9" s="37" t="str">
        <f>INDEX(ListeMatières,1)</f>
        <v>Encarts et circulaires imprimés sur du papier journal</v>
      </c>
      <c r="C9" s="281">
        <f>INDEX(tblMatières[Quantité déclarée (tonnes)],MATCH($B9,tblMatières[Matière],0))</f>
        <v>97857.077999999994</v>
      </c>
      <c r="D9" s="176">
        <f>INDEX(tblMatières[Quantité générée (tonnes)],MATCH($B9,tblMatières[Matière],0))</f>
        <v>97857.077999999994</v>
      </c>
      <c r="E9" s="176">
        <f>INDEX(tblMatières[Quantité récupérée (tonnes)],MATCH($B9,tblMatières[Matière],0))</f>
        <v>83603.981319046245</v>
      </c>
      <c r="F9" s="176">
        <f>D9-E9</f>
        <v>14253.096680953749</v>
      </c>
      <c r="G9" s="157">
        <f>INDEX(tblMatières[% récupération],MATCH($B9,tblMatières[Matière],0))</f>
        <v>0.85434782059450265</v>
      </c>
      <c r="H9" s="343">
        <f>INDEX(tblMatières[Coût net ACA],MATCH($B9,tblMatières[Matière],0))</f>
        <v>94.395819569791769</v>
      </c>
      <c r="I9" s="348">
        <f t="shared" ref="I9:I14" si="0">INDEX(rgTarif_TxFinal,MATCH($B9,rgTarif_Matières,0))</f>
        <v>174.37</v>
      </c>
      <c r="J9" s="106">
        <v>160.44</v>
      </c>
      <c r="K9" s="400">
        <f t="shared" ref="K9:K15" si="1">IF(J9&gt;0,I9/J9-1,0)</f>
        <v>8.6823734729494007E-2</v>
      </c>
    </row>
    <row r="10" spans="1:11">
      <c r="A10" s="38"/>
      <c r="B10" s="37" t="str">
        <f>INDEX(ListeMatières,2)</f>
        <v>Catalogues et publications</v>
      </c>
      <c r="C10" s="163">
        <f>INDEX(tblMatières[Quantité déclarée (tonnes)],MATCH($B10,tblMatières[Matière],0))</f>
        <v>16849.689999999999</v>
      </c>
      <c r="D10" s="176">
        <f>INDEX(tblMatières[Quantité générée (tonnes)],MATCH($B10,tblMatières[Matière],0))</f>
        <v>16849.689999999999</v>
      </c>
      <c r="E10" s="176">
        <f>INDEX(tblMatières[Quantité récupérée (tonnes)],MATCH($B10,tblMatières[Matière],0))</f>
        <v>13513.311672303862</v>
      </c>
      <c r="F10" s="176">
        <f t="shared" ref="F10:F15" si="2">D10-E10</f>
        <v>3336.3783276961367</v>
      </c>
      <c r="G10" s="157">
        <f>INDEX(tblMatières[% récupération],MATCH($B10,tblMatières[Matière],0))</f>
        <v>0.80199170858952673</v>
      </c>
      <c r="H10" s="343">
        <f>INDEX(tblMatières[Coût net ACA],MATCH($B10,tblMatières[Matière],0))</f>
        <v>93.239891555735525</v>
      </c>
      <c r="I10" s="348">
        <f t="shared" si="0"/>
        <v>252.99</v>
      </c>
      <c r="J10" s="106">
        <v>232.86</v>
      </c>
      <c r="K10" s="400">
        <f t="shared" si="1"/>
        <v>8.6446792063900935E-2</v>
      </c>
    </row>
    <row r="11" spans="1:11">
      <c r="A11" s="38"/>
      <c r="B11" s="37" t="str">
        <f>INDEX(ListeMatières,3)</f>
        <v>Magazines</v>
      </c>
      <c r="C11" s="163">
        <f>INDEX(tblMatières[Quantité déclarée (tonnes)],MATCH($B11,tblMatières[Matière],0))</f>
        <v>10816.571</v>
      </c>
      <c r="D11" s="176">
        <f>INDEX(tblMatières[Quantité générée (tonnes)],MATCH($B11,tblMatières[Matière],0))</f>
        <v>10816.571</v>
      </c>
      <c r="E11" s="176">
        <f>INDEX(tblMatières[Quantité récupérée (tonnes)],MATCH($B11,tblMatières[Matière],0))</f>
        <v>9110.2160408458858</v>
      </c>
      <c r="F11" s="176">
        <f t="shared" si="2"/>
        <v>1706.3549591541141</v>
      </c>
      <c r="G11" s="157">
        <f>INDEX(tblMatières[% récupération],MATCH($B11,tblMatières[Matière],0))</f>
        <v>0.84224622025278495</v>
      </c>
      <c r="H11" s="343">
        <f>INDEX(tblMatières[Coût net ACA],MATCH($B11,tblMatières[Matière],0))</f>
        <v>90.789718789252021</v>
      </c>
      <c r="I11" s="348">
        <f t="shared" si="0"/>
        <v>252.99</v>
      </c>
      <c r="J11" s="106">
        <v>232.86</v>
      </c>
      <c r="K11" s="400">
        <f t="shared" si="1"/>
        <v>8.6446792063900935E-2</v>
      </c>
    </row>
    <row r="12" spans="1:11">
      <c r="A12" s="38"/>
      <c r="B12" s="37" t="str">
        <f>INDEX(ListeMatières,4)</f>
        <v>Annuaires téléphoniques</v>
      </c>
      <c r="C12" s="163">
        <f>INDEX(tblMatières[Quantité déclarée (tonnes)],MATCH($B12,tblMatières[Matière],0))</f>
        <v>1956.9110000000001</v>
      </c>
      <c r="D12" s="176">
        <f>INDEX(tblMatières[Quantité générée (tonnes)],MATCH($B12,tblMatières[Matière],0))</f>
        <v>1956.9110000000001</v>
      </c>
      <c r="E12" s="176">
        <f>INDEX(tblMatières[Quantité récupérée (tonnes)],MATCH($B12,tblMatières[Matière],0))</f>
        <v>1761.6059678635033</v>
      </c>
      <c r="F12" s="176">
        <f t="shared" si="2"/>
        <v>195.30503213649672</v>
      </c>
      <c r="G12" s="157">
        <f>INDEX(tblMatières[% récupération],MATCH($B12,tblMatières[Matière],0))</f>
        <v>0.90019728432386725</v>
      </c>
      <c r="H12" s="343">
        <f>INDEX(tblMatières[Coût net ACA],MATCH($B12,tblMatières[Matière],0))</f>
        <v>95.64482468551175</v>
      </c>
      <c r="I12" s="348">
        <f t="shared" si="0"/>
        <v>252.99</v>
      </c>
      <c r="J12" s="106">
        <v>232.86</v>
      </c>
      <c r="K12" s="400">
        <f t="shared" si="1"/>
        <v>8.6446792063900935E-2</v>
      </c>
    </row>
    <row r="13" spans="1:11">
      <c r="A13" s="38"/>
      <c r="B13" s="37" t="str">
        <f>INDEX(ListeMatières,5)</f>
        <v>Papier à usage général</v>
      </c>
      <c r="C13" s="163">
        <f>INDEX(tblMatières[Quantité déclarée (tonnes)],MATCH($B13,tblMatières[Matière],0))</f>
        <v>4514.6930000000002</v>
      </c>
      <c r="D13" s="176">
        <f>INDEX(tblMatières[Quantité générée (tonnes)],MATCH($B13,tblMatières[Matière],0))</f>
        <v>4514.6930000000002</v>
      </c>
      <c r="E13" s="176">
        <f>INDEX(tblMatières[Quantité récupérée (tonnes)],MATCH($B13,tblMatières[Matière],0))</f>
        <v>2990.2667386915787</v>
      </c>
      <c r="F13" s="176">
        <f t="shared" si="2"/>
        <v>1524.4262613084215</v>
      </c>
      <c r="G13" s="157">
        <f>INDEX(tblMatières[% récupération],MATCH($B13,tblMatières[Matière],0))</f>
        <v>0.66234110241639432</v>
      </c>
      <c r="H13" s="343">
        <f>INDEX(tblMatières[Coût net ACA],MATCH($B13,tblMatières[Matière],0))</f>
        <v>96.536212132836539</v>
      </c>
      <c r="I13" s="348">
        <f t="shared" si="0"/>
        <v>252.99</v>
      </c>
      <c r="J13" s="106">
        <v>232.86</v>
      </c>
      <c r="K13" s="400">
        <f t="shared" si="1"/>
        <v>8.6446792063900935E-2</v>
      </c>
    </row>
    <row r="14" spans="1:11">
      <c r="A14" s="38"/>
      <c r="B14" s="37" t="str">
        <f>INDEX(ListeMatières,6)</f>
        <v>Autres imprimés</v>
      </c>
      <c r="C14" s="163">
        <f>INDEX(tblMatières[Quantité déclarée (tonnes)],MATCH($B14,tblMatières[Matière],0))</f>
        <v>26023.886999999999</v>
      </c>
      <c r="D14" s="176">
        <f>INDEX(tblMatières[Quantité générée (tonnes)],MATCH($B14,tblMatières[Matière],0))</f>
        <v>26023.886999999999</v>
      </c>
      <c r="E14" s="176">
        <f>INDEX(tblMatières[Quantité récupérée (tonnes)],MATCH($B14,tblMatières[Matière],0))</f>
        <v>14888.300480798885</v>
      </c>
      <c r="F14" s="176">
        <f t="shared" si="2"/>
        <v>11135.586519201113</v>
      </c>
      <c r="G14" s="157">
        <f>INDEX(tblMatières[% récupération],MATCH($B14,tblMatières[Matière],0))</f>
        <v>0.57210133447009226</v>
      </c>
      <c r="H14" s="343">
        <f>INDEX(tblMatières[Coût net ACA],MATCH($B14,tblMatières[Matière],0))</f>
        <v>107.23962402961833</v>
      </c>
      <c r="I14" s="348">
        <f t="shared" si="0"/>
        <v>252.99</v>
      </c>
      <c r="J14" s="106">
        <v>232.86</v>
      </c>
      <c r="K14" s="400">
        <f t="shared" si="1"/>
        <v>8.6446792063900935E-2</v>
      </c>
    </row>
    <row r="15" spans="1:11" ht="15" thickBot="1">
      <c r="A15" s="55" t="s">
        <v>31</v>
      </c>
      <c r="B15" s="20"/>
      <c r="C15" s="164">
        <f>SUBTOTAL(9,C9:C14)</f>
        <v>158018.82999999999</v>
      </c>
      <c r="D15" s="177">
        <f t="shared" ref="D15:E15" si="3">SUBTOTAL(9,D9:D14)</f>
        <v>158018.82999999999</v>
      </c>
      <c r="E15" s="177">
        <f t="shared" si="3"/>
        <v>125867.68221954998</v>
      </c>
      <c r="F15" s="177">
        <f t="shared" si="2"/>
        <v>32151.147780450003</v>
      </c>
      <c r="G15" s="160">
        <f>E15/D15</f>
        <v>0.79653597118488972</v>
      </c>
      <c r="H15" s="344"/>
      <c r="I15" s="349">
        <f>INDEX(rgTarif_TxFinal,MATCH($A15,Tarif!$B$11:$B$51,0))</f>
        <v>204.30261589292871</v>
      </c>
      <c r="J15" s="108">
        <v>187.72</v>
      </c>
      <c r="K15" s="401">
        <f t="shared" si="1"/>
        <v>8.8336969384874786E-2</v>
      </c>
    </row>
    <row r="16" spans="1:11">
      <c r="A16" s="38"/>
      <c r="B16" s="35"/>
      <c r="C16" s="165"/>
      <c r="D16" s="178"/>
      <c r="E16" s="178"/>
      <c r="F16" s="178"/>
      <c r="G16" s="155"/>
      <c r="H16" s="345"/>
      <c r="I16" s="117"/>
      <c r="J16" s="116"/>
      <c r="K16" s="402"/>
    </row>
    <row r="17" spans="1:11">
      <c r="A17" s="43" t="s">
        <v>30</v>
      </c>
      <c r="B17" s="11"/>
      <c r="C17" s="166"/>
      <c r="D17" s="179"/>
      <c r="E17" s="179"/>
      <c r="F17" s="179"/>
      <c r="G17" s="156"/>
      <c r="H17" s="346"/>
      <c r="I17" s="142"/>
      <c r="J17" s="162"/>
      <c r="K17" s="403"/>
    </row>
    <row r="18" spans="1:11">
      <c r="A18" s="46" t="s">
        <v>208</v>
      </c>
      <c r="B18" s="37" t="str">
        <f>INDEX(ListeMatières,7)</f>
        <v>Carton ondulé</v>
      </c>
      <c r="C18" s="163">
        <f>INDEX(tblMatières[Quantité déclarée (tonnes)],MATCH($B18,tblMatières[Matière],0))</f>
        <v>56835.883000000002</v>
      </c>
      <c r="D18" s="176">
        <f>INDEX(tblMatières[Quantité générée (tonnes)],MATCH($B18,tblMatières[Matière],0))</f>
        <v>56835.883000000002</v>
      </c>
      <c r="E18" s="176">
        <f>INDEX(tblMatières[Quantité récupérée (tonnes)],MATCH($B18,tblMatières[Matière],0))</f>
        <v>40298.230838201678</v>
      </c>
      <c r="F18" s="176">
        <f t="shared" ref="F18:F47" si="4">D18-E18</f>
        <v>16537.652161798324</v>
      </c>
      <c r="G18" s="157">
        <f>INDEX(tblMatières[% récupération],MATCH($B18,tblMatières[Matière],0))</f>
        <v>0.70902797161085152</v>
      </c>
      <c r="H18" s="343">
        <f>INDEX(tblMatières[Coût net ACA],MATCH($B18,tblMatières[Matière],0))</f>
        <v>153.68613427780843</v>
      </c>
      <c r="I18" s="348">
        <f t="shared" ref="I18:I24" si="5">INDEX(rgTarif_TxFinal,MATCH($B18,rgTarif_Matières,0))</f>
        <v>192.46</v>
      </c>
      <c r="J18" s="106">
        <v>185.93</v>
      </c>
      <c r="K18" s="400">
        <f t="shared" ref="K18:K47" si="6">IF(J18&gt;0,I18/J18-1,0)</f>
        <v>3.5120744366159418E-2</v>
      </c>
    </row>
    <row r="19" spans="1:11">
      <c r="A19" s="46"/>
      <c r="B19" s="37" t="str">
        <f>INDEX(ListeMatières,8)</f>
        <v>Sacs de papier kraft</v>
      </c>
      <c r="C19" s="163">
        <f>INDEX(tblMatières[Quantité déclarée (tonnes)],MATCH($B19,tblMatières[Matière],0))</f>
        <v>2779.5329999999999</v>
      </c>
      <c r="D19" s="176">
        <f>INDEX(tblMatières[Quantité générée (tonnes)],MATCH($B19,tblMatières[Matière],0))</f>
        <v>2779.5329999999999</v>
      </c>
      <c r="E19" s="176">
        <f>INDEX(tblMatières[Quantité récupérée (tonnes)],MATCH($B19,tblMatières[Matière],0))</f>
        <v>954.88002661803682</v>
      </c>
      <c r="F19" s="176">
        <f t="shared" si="4"/>
        <v>1824.652973381963</v>
      </c>
      <c r="G19" s="157">
        <f>INDEX(tblMatières[% récupération],MATCH($B19,tblMatières[Matière],0))</f>
        <v>0.34353973369556573</v>
      </c>
      <c r="H19" s="343">
        <f>INDEX(tblMatières[Coût net ACA],MATCH($B19,tblMatières[Matière],0))</f>
        <v>153.68613427780843</v>
      </c>
      <c r="I19" s="348">
        <f t="shared" si="5"/>
        <v>192.46</v>
      </c>
      <c r="J19" s="106">
        <v>185.93</v>
      </c>
      <c r="K19" s="400">
        <f t="shared" si="6"/>
        <v>3.5120744366159418E-2</v>
      </c>
    </row>
    <row r="20" spans="1:11">
      <c r="A20" s="46"/>
      <c r="B20" s="37" t="str">
        <f>INDEX(ListeMatières,9)</f>
        <v>Emballages de papier kraft</v>
      </c>
      <c r="C20" s="163">
        <f>INDEX(tblMatières[Quantité déclarée (tonnes)],MATCH($B20,tblMatières[Matière],0))</f>
        <v>311.67700000000002</v>
      </c>
      <c r="D20" s="176">
        <f>INDEX(tblMatières[Quantité générée (tonnes)],MATCH($B20,tblMatières[Matière],0))</f>
        <v>311.67700000000002</v>
      </c>
      <c r="E20" s="176">
        <f>INDEX(tblMatières[Quantité récupérée (tonnes)],MATCH($B20,tblMatières[Matière],0))</f>
        <v>99.135800518476543</v>
      </c>
      <c r="F20" s="176">
        <f t="shared" si="4"/>
        <v>212.54119948152348</v>
      </c>
      <c r="G20" s="157">
        <f>INDEX(tblMatières[% récupération],MATCH($B20,tblMatières[Matière],0))</f>
        <v>0.31807223670170254</v>
      </c>
      <c r="H20" s="343">
        <f>INDEX(tblMatières[Coût net ACA],MATCH($B20,tblMatières[Matière],0))</f>
        <v>153.68613427780843</v>
      </c>
      <c r="I20" s="348">
        <f t="shared" si="5"/>
        <v>192.46</v>
      </c>
      <c r="J20" s="106">
        <v>185.93</v>
      </c>
      <c r="K20" s="400">
        <f t="shared" si="6"/>
        <v>3.5120744366159418E-2</v>
      </c>
    </row>
    <row r="21" spans="1:11">
      <c r="A21" s="46"/>
      <c r="B21" s="37" t="str">
        <f>INDEX(ListeMatières,10)</f>
        <v>Carton plat et autres emballages de papier</v>
      </c>
      <c r="C21" s="163">
        <f>INDEX(tblMatières[Quantité déclarée (tonnes)],MATCH($B21,tblMatières[Matière],0))</f>
        <v>87303.759000000005</v>
      </c>
      <c r="D21" s="176">
        <f>INDEX(tblMatières[Quantité générée (tonnes)],MATCH($B21,tblMatières[Matière],0))</f>
        <v>87303.759000000005</v>
      </c>
      <c r="E21" s="176">
        <f>INDEX(tblMatières[Quantité récupérée (tonnes)],MATCH($B21,tblMatières[Matière],0))</f>
        <v>49237.634927102714</v>
      </c>
      <c r="F21" s="176">
        <f t="shared" si="4"/>
        <v>38066.124072897292</v>
      </c>
      <c r="G21" s="157">
        <f>INDEX(tblMatières[% récupération],MATCH($B21,tblMatières[Matière],0))</f>
        <v>0.56398069786551475</v>
      </c>
      <c r="H21" s="343">
        <f>INDEX(tblMatières[Coût net ACA],MATCH($B21,tblMatières[Matière],0))</f>
        <v>149.29999999999998</v>
      </c>
      <c r="I21" s="348">
        <f t="shared" si="5"/>
        <v>207.39310556714872</v>
      </c>
      <c r="J21" s="106">
        <v>195.27</v>
      </c>
      <c r="K21" s="400">
        <f t="shared" si="6"/>
        <v>6.2083809940844503E-2</v>
      </c>
    </row>
    <row r="22" spans="1:11">
      <c r="A22" s="46"/>
      <c r="B22" s="37" t="str">
        <f>INDEX(ListeMatières,11)</f>
        <v>Contenants à pignon</v>
      </c>
      <c r="C22" s="163">
        <f>INDEX(tblMatières[Quantité déclarée (tonnes)],MATCH($B22,tblMatières[Matière],0))</f>
        <v>12195.004999999999</v>
      </c>
      <c r="D22" s="176">
        <f>INDEX(tblMatières[Quantité générée (tonnes)],MATCH($B22,tblMatières[Matière],0))</f>
        <v>12195.004999999999</v>
      </c>
      <c r="E22" s="176">
        <f>INDEX(tblMatières[Quantité récupérée (tonnes)],MATCH($B22,tblMatières[Matière],0))</f>
        <v>8372.0581397423357</v>
      </c>
      <c r="F22" s="176">
        <f t="shared" si="4"/>
        <v>3822.9468602576635</v>
      </c>
      <c r="G22" s="157">
        <f>INDEX(tblMatières[% récupération],MATCH($B22,tblMatières[Matière],0))</f>
        <v>0.68651535114108908</v>
      </c>
      <c r="H22" s="343">
        <f>INDEX(tblMatières[Coût net ACA],MATCH($B22,tblMatières[Matière],0))</f>
        <v>182.28823626808645</v>
      </c>
      <c r="I22" s="348">
        <f t="shared" si="5"/>
        <v>211.87379559556351</v>
      </c>
      <c r="J22" s="106">
        <v>195.28</v>
      </c>
      <c r="K22" s="400">
        <f t="shared" si="6"/>
        <v>8.4974373184983243E-2</v>
      </c>
    </row>
    <row r="23" spans="1:11">
      <c r="A23" s="46"/>
      <c r="B23" s="37" t="str">
        <f>INDEX(ListeMatières,12)</f>
        <v>Laminés de papier</v>
      </c>
      <c r="C23" s="163">
        <f>INDEX(tblMatières[Quantité déclarée (tonnes)],MATCH($B23,tblMatières[Matière],0))</f>
        <v>12539.928</v>
      </c>
      <c r="D23" s="176">
        <f>INDEX(tblMatières[Quantité générée (tonnes)],MATCH($B23,tblMatières[Matière],0))</f>
        <v>12539.928</v>
      </c>
      <c r="E23" s="176">
        <f>INDEX(tblMatières[Quantité récupérée (tonnes)],MATCH($B23,tblMatières[Matière],0))</f>
        <v>3387.8210957870429</v>
      </c>
      <c r="F23" s="176">
        <f t="shared" si="4"/>
        <v>9152.1069042129566</v>
      </c>
      <c r="G23" s="157">
        <f>INDEX(tblMatières[% récupération],MATCH($B23,tblMatières[Matière],0))</f>
        <v>0.27016272308637201</v>
      </c>
      <c r="H23" s="343">
        <f>INDEX(tblMatières[Coût net ACA],MATCH($B23,tblMatières[Matière],0))</f>
        <v>226.71233190137519</v>
      </c>
      <c r="I23" s="348">
        <f t="shared" si="5"/>
        <v>265.52793660182255</v>
      </c>
      <c r="J23" s="106">
        <v>244.95</v>
      </c>
      <c r="K23" s="400">
        <f t="shared" si="6"/>
        <v>8.4008722603888808E-2</v>
      </c>
    </row>
    <row r="24" spans="1:11">
      <c r="A24" s="46"/>
      <c r="B24" s="37" t="str">
        <f>INDEX(ListeMatières,13)</f>
        <v>Contenants aseptiques</v>
      </c>
      <c r="C24" s="163">
        <f>INDEX(tblMatières[Quantité déclarée (tonnes)],MATCH($B24,tblMatières[Matière],0))</f>
        <v>6206.049</v>
      </c>
      <c r="D24" s="176">
        <f>INDEX(tblMatières[Quantité générée (tonnes)],MATCH($B24,tblMatières[Matière],0))</f>
        <v>6206.049</v>
      </c>
      <c r="E24" s="176">
        <f>INDEX(tblMatières[Quantité récupérée (tonnes)],MATCH($B24,tblMatières[Matière],0))</f>
        <v>3243.8457246695884</v>
      </c>
      <c r="F24" s="176">
        <f t="shared" si="4"/>
        <v>2962.2032753304115</v>
      </c>
      <c r="G24" s="157">
        <f>INDEX(tblMatières[% récupération],MATCH($B24,tblMatières[Matière],0))</f>
        <v>0.52269096242546398</v>
      </c>
      <c r="H24" s="343">
        <f>INDEX(tblMatières[Coût net ACA],MATCH($B24,tblMatières[Matière],0))</f>
        <v>186.11136672940609</v>
      </c>
      <c r="I24" s="348">
        <f t="shared" si="5"/>
        <v>237.01133212519002</v>
      </c>
      <c r="J24" s="106">
        <v>228.69</v>
      </c>
      <c r="K24" s="400">
        <f t="shared" si="6"/>
        <v>3.6386952316192378E-2</v>
      </c>
    </row>
    <row r="25" spans="1:11">
      <c r="A25" s="43" t="s">
        <v>209</v>
      </c>
      <c r="B25" s="10"/>
      <c r="C25" s="167">
        <f>SUBTOTAL(9,C18:C24)</f>
        <v>178171.83400000003</v>
      </c>
      <c r="D25" s="180">
        <f t="shared" ref="D25:E25" si="7">SUBTOTAL(9,D18:D24)</f>
        <v>178171.83400000003</v>
      </c>
      <c r="E25" s="180">
        <f t="shared" si="7"/>
        <v>105593.60655263987</v>
      </c>
      <c r="F25" s="180">
        <f t="shared" si="4"/>
        <v>72578.227447360157</v>
      </c>
      <c r="G25" s="161">
        <f>E25/D25</f>
        <v>0.59265038801048575</v>
      </c>
      <c r="H25" s="347"/>
      <c r="I25" s="350">
        <f>INDEX(rgTarif_TxFinal,MATCH($A25,Tarif!$B$11:$B$51,0))</f>
        <v>207.80037079167295</v>
      </c>
      <c r="J25" s="112">
        <v>196.77</v>
      </c>
      <c r="K25" s="404">
        <f t="shared" si="6"/>
        <v>5.6057177372937694E-2</v>
      </c>
    </row>
    <row r="26" spans="1:11">
      <c r="A26" s="46" t="s">
        <v>22</v>
      </c>
      <c r="B26" s="37" t="str">
        <f>INDEX(ListeMatières,14)</f>
        <v>Bouteilles PET</v>
      </c>
      <c r="C26" s="163">
        <f>INDEX(tblMatières[Quantité déclarée (tonnes)],MATCH($B26,tblMatières[Matière],0))</f>
        <v>23327.881000000001</v>
      </c>
      <c r="D26" s="176">
        <f>INDEX(tblMatières[Quantité générée (tonnes)],MATCH($B26,tblMatières[Matière],0))</f>
        <v>23327.881000000001</v>
      </c>
      <c r="E26" s="176">
        <f>INDEX(tblMatières[Quantité récupérée (tonnes)],MATCH($B26,tblMatières[Matière],0))</f>
        <v>13712.749776472803</v>
      </c>
      <c r="F26" s="176">
        <f t="shared" si="4"/>
        <v>9615.131223527198</v>
      </c>
      <c r="G26" s="157">
        <f>INDEX(tblMatières[% récupération],MATCH($B26,tblMatières[Matière],0))</f>
        <v>0.58782663442396688</v>
      </c>
      <c r="H26" s="343">
        <f>INDEX(tblMatières[Coût net ACA],MATCH($B26,tblMatières[Matière],0))</f>
        <v>206.00218587957016</v>
      </c>
      <c r="I26" s="348">
        <f t="shared" ref="I26:I36" si="8">INDEX(rgTarif_TxFinal,MATCH($B26,rgTarif_Matières,0))</f>
        <v>280.31</v>
      </c>
      <c r="J26" s="106">
        <v>262.35000000000002</v>
      </c>
      <c r="K26" s="400">
        <f t="shared" ref="K26:K37" si="9">IF(J26&gt;0,I26/J26-1,0)</f>
        <v>6.8458166571373935E-2</v>
      </c>
    </row>
    <row r="27" spans="1:11">
      <c r="A27" s="38"/>
      <c r="B27" s="37" t="str">
        <f>INDEX(ListeMatières,15)</f>
        <v>Bouteilles HDPE</v>
      </c>
      <c r="C27" s="163">
        <f>INDEX(tblMatières[Quantité déclarée (tonnes)],MATCH($B27,tblMatières[Matière],0))</f>
        <v>16585.286</v>
      </c>
      <c r="D27" s="176">
        <f>INDEX(tblMatières[Quantité générée (tonnes)],MATCH($B27,tblMatières[Matière],0))</f>
        <v>16585.286</v>
      </c>
      <c r="E27" s="176">
        <f>INDEX(tblMatières[Quantité récupérée (tonnes)],MATCH($B27,tblMatières[Matière],0))</f>
        <v>10304.630443688771</v>
      </c>
      <c r="F27" s="176">
        <f t="shared" si="4"/>
        <v>6280.6555563112288</v>
      </c>
      <c r="G27" s="157">
        <f>INDEX(tblMatières[% récupération],MATCH($B27,tblMatières[Matière],0))</f>
        <v>0.62131159171381012</v>
      </c>
      <c r="H27" s="343">
        <f>INDEX(tblMatières[Coût net ACA],MATCH($B27,tblMatières[Matière],0))</f>
        <v>79.426164210515594</v>
      </c>
      <c r="I27" s="348">
        <f t="shared" si="8"/>
        <v>163.65280675653273</v>
      </c>
      <c r="J27" s="106">
        <v>159.65</v>
      </c>
      <c r="K27" s="400">
        <f t="shared" si="9"/>
        <v>2.5072388077248542E-2</v>
      </c>
    </row>
    <row r="28" spans="1:11">
      <c r="A28" s="38"/>
      <c r="B28" s="37" t="str">
        <f>INDEX(ListeMatières,16)</f>
        <v>Plastiques stratifiés</v>
      </c>
      <c r="C28" s="163">
        <f>INDEX(tblMatières[Quantité déclarée (tonnes)],MATCH($B28,tblMatières[Matière],0))</f>
        <v>12008.449000000001</v>
      </c>
      <c r="D28" s="176">
        <f>INDEX(tblMatières[Quantité générée (tonnes)],MATCH($B28,tblMatières[Matière],0))</f>
        <v>12008.449000000001</v>
      </c>
      <c r="E28" s="176">
        <f>INDEX(tblMatières[Quantité récupérée (tonnes)],MATCH($B28,tblMatières[Matière],0))</f>
        <v>1611.1743447144986</v>
      </c>
      <c r="F28" s="176">
        <f t="shared" si="4"/>
        <v>10397.274655285502</v>
      </c>
      <c r="G28" s="157">
        <f>INDEX(tblMatières[% récupération],MATCH($B28,tblMatières[Matière],0))</f>
        <v>0.13417006182184715</v>
      </c>
      <c r="H28" s="343">
        <f>INDEX(tblMatières[Coût net ACA],MATCH($B28,tblMatières[Matière],0))</f>
        <v>529.24187166609318</v>
      </c>
      <c r="I28" s="348">
        <f t="shared" si="8"/>
        <v>488.82</v>
      </c>
      <c r="J28" s="106">
        <v>471.42</v>
      </c>
      <c r="K28" s="400">
        <f t="shared" si="9"/>
        <v>3.6909761995672641E-2</v>
      </c>
    </row>
    <row r="29" spans="1:11">
      <c r="A29" s="38"/>
      <c r="B29" s="37" t="str">
        <f>INDEX(ListeMatières,17)</f>
        <v>Pellicules HDPE et LDPE</v>
      </c>
      <c r="C29" s="163">
        <f>INDEX(tblMatières[Quantité déclarée (tonnes)],MATCH($B29,tblMatières[Matière],0))</f>
        <v>21835.475999999999</v>
      </c>
      <c r="D29" s="176">
        <f>INDEX(tblMatières[Quantité générée (tonnes)],MATCH($B29,tblMatières[Matière],0))</f>
        <v>21835.475999999999</v>
      </c>
      <c r="E29" s="176">
        <f>INDEX(tblMatières[Quantité récupérée (tonnes)],MATCH($B29,tblMatières[Matière],0))</f>
        <v>4772.5143538478269</v>
      </c>
      <c r="F29" s="176">
        <f t="shared" si="4"/>
        <v>17062.961646152173</v>
      </c>
      <c r="G29" s="157">
        <f>INDEX(tblMatières[% récupération],MATCH($B29,tblMatières[Matière],0))</f>
        <v>0.21856699409015987</v>
      </c>
      <c r="H29" s="343">
        <f>INDEX(tblMatières[Coût net ACA],MATCH($B29,tblMatières[Matière],0))</f>
        <v>635.64689637837682</v>
      </c>
      <c r="I29" s="348">
        <f t="shared" si="8"/>
        <v>488.82</v>
      </c>
      <c r="J29" s="106">
        <v>471.42</v>
      </c>
      <c r="K29" s="400">
        <f t="shared" si="9"/>
        <v>3.6909761995672641E-2</v>
      </c>
    </row>
    <row r="30" spans="1:11">
      <c r="A30" s="38"/>
      <c r="B30" s="37" t="str">
        <f>INDEX(ListeMatières,18)</f>
        <v>Sacs d'emplettes de pellicules HDPE et LDPE</v>
      </c>
      <c r="C30" s="163">
        <f>INDEX(tblMatières[Quantité déclarée (tonnes)],MATCH($B30,tblMatières[Matière],0))</f>
        <v>9133.4940000000006</v>
      </c>
      <c r="D30" s="176">
        <f>INDEX(tblMatières[Quantité générée (tonnes)],MATCH($B30,tblMatières[Matière],0))</f>
        <v>9133.4940000000006</v>
      </c>
      <c r="E30" s="176">
        <f>INDEX(tblMatières[Quantité récupérée (tonnes)],MATCH($B30,tblMatières[Matière],0))</f>
        <v>1201.4744535072032</v>
      </c>
      <c r="F30" s="176">
        <f t="shared" si="4"/>
        <v>7932.0195464927974</v>
      </c>
      <c r="G30" s="157">
        <f>INDEX(tblMatières[% récupération],MATCH($B30,tblMatières[Matière],0))</f>
        <v>0.13154598377216903</v>
      </c>
      <c r="H30" s="343">
        <f>INDEX(tblMatières[Coût net ACA],MATCH($B30,tblMatières[Matière],0))</f>
        <v>635.64689637837682</v>
      </c>
      <c r="I30" s="348">
        <f t="shared" si="8"/>
        <v>488.82</v>
      </c>
      <c r="J30" s="106">
        <v>471.42</v>
      </c>
      <c r="K30" s="400">
        <f t="shared" si="9"/>
        <v>3.6909761995672641E-2</v>
      </c>
    </row>
    <row r="31" spans="1:11">
      <c r="A31" s="38"/>
      <c r="B31" s="37" t="str">
        <f>INDEX(ListeMatières,19)</f>
        <v>Polystyrène expansé alimentaire</v>
      </c>
      <c r="C31" s="163">
        <f>INDEX(tblMatières[Quantité déclarée (tonnes)],MATCH($B31,tblMatières[Matière],0))</f>
        <v>4325.6270000000004</v>
      </c>
      <c r="D31" s="176">
        <f>INDEX(tblMatières[Quantité générée (tonnes)],MATCH($B31,tblMatières[Matière],0))</f>
        <v>4325.6270000000004</v>
      </c>
      <c r="E31" s="176">
        <f>INDEX(tblMatières[Quantité récupérée (tonnes)],MATCH($B31,tblMatières[Matière],0))</f>
        <v>310.31781478898597</v>
      </c>
      <c r="F31" s="176">
        <f t="shared" si="4"/>
        <v>4015.3091852110147</v>
      </c>
      <c r="G31" s="157">
        <f>INDEX(tblMatières[% récupération],MATCH($B31,tblMatières[Matière],0))</f>
        <v>7.1739383629005907E-2</v>
      </c>
      <c r="H31" s="343">
        <f>INDEX(tblMatières[Coût net ACA],MATCH($B31,tblMatières[Matière],0))</f>
        <v>1993.7627691914415</v>
      </c>
      <c r="I31" s="348">
        <f t="shared" si="8"/>
        <v>789.76</v>
      </c>
      <c r="J31" s="106">
        <v>750.26</v>
      </c>
      <c r="K31" s="400">
        <f t="shared" si="9"/>
        <v>5.2648415216058453E-2</v>
      </c>
    </row>
    <row r="32" spans="1:11">
      <c r="A32" s="266"/>
      <c r="B32" s="37" t="str">
        <f>INDEX(ListeMatières,20)</f>
        <v>Polystyrène expansé de protection</v>
      </c>
      <c r="C32" s="163">
        <f>INDEX(tblMatières[Quantité déclarée (tonnes)],MATCH($B32,tblMatières[Matière],0))</f>
        <v>1850.1969999999999</v>
      </c>
      <c r="D32" s="176">
        <f>INDEX(tblMatières[Quantité générée (tonnes)],MATCH($B32,tblMatières[Matière],0))</f>
        <v>1850.1969999999999</v>
      </c>
      <c r="E32" s="176">
        <f>INDEX(tblMatières[Quantité récupérée (tonnes)],MATCH($B32,tblMatières[Matière],0))</f>
        <v>606.7541775293505</v>
      </c>
      <c r="F32" s="176">
        <f t="shared" si="4"/>
        <v>1243.4428224706494</v>
      </c>
      <c r="G32" s="157">
        <f>INDEX(tblMatières[% récupération],MATCH($B32,tblMatières[Matière],0))</f>
        <v>0.32794030988556921</v>
      </c>
      <c r="H32" s="343">
        <f>INDEX(tblMatières[Coût net ACA],MATCH($B32,tblMatières[Matière],0))</f>
        <v>1993.7627691914415</v>
      </c>
      <c r="I32" s="348">
        <f t="shared" si="8"/>
        <v>789.76</v>
      </c>
      <c r="J32" s="106">
        <v>750.26</v>
      </c>
      <c r="K32" s="400">
        <f>IF(J32&gt;0,I32/J32-1,0)</f>
        <v>5.2648415216058453E-2</v>
      </c>
    </row>
    <row r="33" spans="1:11">
      <c r="A33" s="38"/>
      <c r="B33" s="37" t="str">
        <f>INDEX(ListeMatières,21)</f>
        <v>Polystyrène non expansé</v>
      </c>
      <c r="C33" s="163">
        <f>INDEX(tblMatières[Quantité déclarée (tonnes)],MATCH($B33,tblMatières[Matière],0))</f>
        <v>4738.9629999999997</v>
      </c>
      <c r="D33" s="176">
        <f>INDEX(tblMatières[Quantité générée (tonnes)],MATCH($B33,tblMatières[Matière],0))</f>
        <v>4738.9629999999997</v>
      </c>
      <c r="E33" s="176">
        <f>INDEX(tblMatières[Quantité récupérée (tonnes)],MATCH($B33,tblMatières[Matière],0))</f>
        <v>1488.3805294562796</v>
      </c>
      <c r="F33" s="176">
        <f t="shared" si="4"/>
        <v>3250.5824705437199</v>
      </c>
      <c r="G33" s="157">
        <f>INDEX(tblMatières[% récupération],MATCH($B33,tblMatières[Matière],0))</f>
        <v>0.31407304286956444</v>
      </c>
      <c r="H33" s="343">
        <f>INDEX(tblMatières[Coût net ACA],MATCH($B33,tblMatières[Matière],0))</f>
        <v>381.9396647890232</v>
      </c>
      <c r="I33" s="348">
        <f t="shared" si="8"/>
        <v>789.76</v>
      </c>
      <c r="J33" s="106">
        <v>750.26</v>
      </c>
      <c r="K33" s="400">
        <f t="shared" si="9"/>
        <v>5.2648415216058453E-2</v>
      </c>
    </row>
    <row r="34" spans="1:11">
      <c r="A34" s="38"/>
      <c r="B34" s="37" t="str">
        <f>INDEX(ListeMatières,22)</f>
        <v>Contenants de PET</v>
      </c>
      <c r="C34" s="163">
        <f>INDEX(tblMatières[Quantité déclarée (tonnes)],MATCH($B34,tblMatières[Matière],0))</f>
        <v>7338.1760000000004</v>
      </c>
      <c r="D34" s="176">
        <f>INDEX(tblMatières[Quantité générée (tonnes)],MATCH($B34,tblMatières[Matière],0))</f>
        <v>7338.1760000000004</v>
      </c>
      <c r="E34" s="176">
        <f>INDEX(tblMatières[Quantité récupérée (tonnes)],MATCH($B34,tblMatières[Matière],0))</f>
        <v>3577.9912878235536</v>
      </c>
      <c r="F34" s="176">
        <f t="shared" si="4"/>
        <v>3760.1847121764467</v>
      </c>
      <c r="G34" s="157">
        <f>INDEX(tblMatières[% récupération],MATCH($B34,tblMatières[Matière],0))</f>
        <v>0.48758591887460229</v>
      </c>
      <c r="H34" s="343">
        <f>INDEX(tblMatières[Coût net ACA],MATCH($B34,tblMatières[Matière],0))</f>
        <v>326.37</v>
      </c>
      <c r="I34" s="348">
        <f t="shared" si="8"/>
        <v>280.31</v>
      </c>
      <c r="J34" s="106">
        <v>262.35000000000002</v>
      </c>
      <c r="K34" s="400">
        <f t="shared" si="9"/>
        <v>6.8458166571373935E-2</v>
      </c>
    </row>
    <row r="35" spans="1:11">
      <c r="A35" s="38"/>
      <c r="B35" s="37" t="str">
        <f>INDEX(ListeMatières,23)</f>
        <v>Acide polylactique (PLA) et autres plastiques dégradables</v>
      </c>
      <c r="C35" s="163">
        <f>INDEX(tblMatières[Quantité déclarée (tonnes)],MATCH($B35,tblMatières[Matière],0))</f>
        <v>82.570999999999998</v>
      </c>
      <c r="D35" s="176">
        <f>INDEX(tblMatières[Quantité générée (tonnes)],MATCH($B35,tblMatières[Matière],0))</f>
        <v>82.570999999999998</v>
      </c>
      <c r="E35" s="176">
        <f>INDEX(tblMatières[Quantité récupérée (tonnes)],MATCH($B35,tblMatières[Matière],0))</f>
        <v>16.990421072658968</v>
      </c>
      <c r="F35" s="176">
        <f t="shared" si="4"/>
        <v>65.580578927341037</v>
      </c>
      <c r="G35" s="157">
        <f>INDEX(tblMatières[% récupération],MATCH($B35,tblMatières[Matière],0))</f>
        <v>0.2057674131675645</v>
      </c>
      <c r="H35" s="343">
        <f>INDEX(tblMatières[Coût net ACA],MATCH($B35,tblMatières[Matière],0))</f>
        <v>230.50678013679595</v>
      </c>
      <c r="I35" s="348">
        <f t="shared" si="8"/>
        <v>789.76</v>
      </c>
      <c r="J35" s="106">
        <v>750.26</v>
      </c>
      <c r="K35" s="400">
        <f t="shared" si="9"/>
        <v>5.2648415216058453E-2</v>
      </c>
    </row>
    <row r="36" spans="1:11">
      <c r="A36" s="40"/>
      <c r="B36" s="242" t="str">
        <f>INDEX(ListeMatières,24)</f>
        <v>Autres plastiques, polymères et polyuréthanne</v>
      </c>
      <c r="C36" s="163">
        <f>INDEX(tblMatières[Quantité déclarée (tonnes)],MATCH($B36,tblMatières[Matière],0))</f>
        <v>33170.372000000003</v>
      </c>
      <c r="D36" s="176">
        <f>INDEX(tblMatières[Quantité générée (tonnes)],MATCH($B36,tblMatières[Matière],0))</f>
        <v>33170.372000000003</v>
      </c>
      <c r="E36" s="176">
        <f>INDEX(tblMatières[Quantité récupérée (tonnes)],MATCH($B36,tblMatières[Matière],0))</f>
        <v>12075.576019317883</v>
      </c>
      <c r="F36" s="176">
        <f t="shared" si="4"/>
        <v>21094.79598068212</v>
      </c>
      <c r="G36" s="157">
        <f>INDEX(tblMatières[% récupération],MATCH($B36,tblMatières[Matière],0))</f>
        <v>0.36404704835139873</v>
      </c>
      <c r="H36" s="343">
        <f>INDEX(tblMatières[Coût net ACA],MATCH($B36,tblMatières[Matière],0))</f>
        <v>268.57000000000005</v>
      </c>
      <c r="I36" s="348">
        <f t="shared" si="8"/>
        <v>316.11</v>
      </c>
      <c r="J36" s="106">
        <v>302.22000000000003</v>
      </c>
      <c r="K36" s="400">
        <f t="shared" si="9"/>
        <v>4.5959896763946739E-2</v>
      </c>
    </row>
    <row r="37" spans="1:11">
      <c r="A37" s="43" t="s">
        <v>33</v>
      </c>
      <c r="B37" s="10"/>
      <c r="C37" s="167">
        <f>SUBTOTAL(9,C26:C36)</f>
        <v>134396.49200000003</v>
      </c>
      <c r="D37" s="180">
        <f t="shared" ref="D37:E37" si="10">SUBTOTAL(9,D26:D36)</f>
        <v>134396.49200000003</v>
      </c>
      <c r="E37" s="180">
        <f t="shared" si="10"/>
        <v>49678.553622219813</v>
      </c>
      <c r="F37" s="180">
        <f t="shared" si="4"/>
        <v>84717.938377780214</v>
      </c>
      <c r="G37" s="161">
        <f>E37/D37</f>
        <v>0.36964174349297602</v>
      </c>
      <c r="H37" s="347"/>
      <c r="I37" s="350">
        <f>INDEX(rgTarif_TxFinal,MATCH($A37,Tarif!$B$11:$B$51,0))</f>
        <v>383.11426123391533</v>
      </c>
      <c r="J37" s="112">
        <v>367.62</v>
      </c>
      <c r="K37" s="404">
        <f t="shared" si="9"/>
        <v>4.2147492611705806E-2</v>
      </c>
    </row>
    <row r="38" spans="1:11">
      <c r="A38" s="46" t="s">
        <v>39</v>
      </c>
      <c r="B38" s="37" t="str">
        <f>INDEX(ListeMatières,25)</f>
        <v>Contenants pour aliments et breuvages en aluminium</v>
      </c>
      <c r="C38" s="163">
        <f>INDEX(tblMatières[Quantité déclarée (tonnes)],MATCH($B38,tblMatières[Matière],0))</f>
        <v>2927.57</v>
      </c>
      <c r="D38" s="176">
        <f>INDEX(tblMatières[Quantité générée (tonnes)],MATCH($B38,tblMatières[Matière],0))</f>
        <v>2927.57</v>
      </c>
      <c r="E38" s="176">
        <f>INDEX(tblMatières[Quantité récupérée (tonnes)],MATCH($B38,tblMatières[Matière],0))</f>
        <v>1291.1594981629264</v>
      </c>
      <c r="F38" s="176">
        <f t="shared" si="4"/>
        <v>1636.4105018370738</v>
      </c>
      <c r="G38" s="157">
        <f>INDEX(tblMatières[% récupération],MATCH($B38,tblMatières[Matière],0))</f>
        <v>0.44103454337997938</v>
      </c>
      <c r="H38" s="343">
        <f>INDEX(tblMatières[Coût net ACA],MATCH($B38,tblMatières[Matière],0))</f>
        <v>-207.05385563368731</v>
      </c>
      <c r="I38" s="348">
        <f>INDEX(rgTarif_TxFinal,MATCH($B38,rgTarif_Matières,0))</f>
        <v>129.62</v>
      </c>
      <c r="J38" s="106">
        <v>127.46</v>
      </c>
      <c r="K38" s="400">
        <f t="shared" si="6"/>
        <v>1.6946493017417241E-2</v>
      </c>
    </row>
    <row r="39" spans="1:11">
      <c r="A39" s="46"/>
      <c r="B39" s="37" t="str">
        <f>INDEX(ListeMatières,26)</f>
        <v>Autres contenants et emballages en aluminium</v>
      </c>
      <c r="C39" s="163">
        <f>INDEX(tblMatières[Quantité déclarée (tonnes)],MATCH($B39,tblMatières[Matière],0))</f>
        <v>2080.3110000000001</v>
      </c>
      <c r="D39" s="176">
        <f>INDEX(tblMatières[Quantité générée (tonnes)],MATCH($B39,tblMatières[Matière],0))</f>
        <v>2080.3110000000001</v>
      </c>
      <c r="E39" s="176">
        <f>INDEX(tblMatières[Quantité récupérée (tonnes)],MATCH($B39,tblMatières[Matière],0))</f>
        <v>222.33232413320127</v>
      </c>
      <c r="F39" s="176">
        <f t="shared" si="4"/>
        <v>1857.9786758667988</v>
      </c>
      <c r="G39" s="157">
        <f>INDEX(tblMatières[% récupération],MATCH($B39,tblMatières[Matière],0))</f>
        <v>0.10687456064655777</v>
      </c>
      <c r="H39" s="343">
        <f>INDEX(tblMatières[Coût net ACA],MATCH($B39,tblMatières[Matière],0))</f>
        <v>-62.330729315310123</v>
      </c>
      <c r="I39" s="348">
        <f>INDEX(rgTarif_TxFinal,MATCH($B39,rgTarif_Matières,0))</f>
        <v>129.62</v>
      </c>
      <c r="J39" s="106">
        <v>127.46</v>
      </c>
      <c r="K39" s="400">
        <f t="shared" si="6"/>
        <v>1.6946493017417241E-2</v>
      </c>
    </row>
    <row r="40" spans="1:11">
      <c r="A40" s="43" t="s">
        <v>57</v>
      </c>
      <c r="B40" s="10"/>
      <c r="C40" s="167">
        <f>SUBTOTAL(9,C38:C39)</f>
        <v>5007.8810000000003</v>
      </c>
      <c r="D40" s="180">
        <f t="shared" ref="D40:E40" si="11">SUBTOTAL(9,D38:D39)</f>
        <v>5007.8810000000003</v>
      </c>
      <c r="E40" s="180">
        <f t="shared" si="11"/>
        <v>1513.4918222961278</v>
      </c>
      <c r="F40" s="180">
        <f t="shared" si="4"/>
        <v>3494.3891777038725</v>
      </c>
      <c r="G40" s="161">
        <f>E40/D40</f>
        <v>0.30222200213945333</v>
      </c>
      <c r="H40" s="347"/>
      <c r="I40" s="350">
        <f>INDEX(rgTarif_TxFinal,MATCH($A40,Tarif!$B$11:$B$51,0))</f>
        <v>129.62</v>
      </c>
      <c r="J40" s="112">
        <v>127.46</v>
      </c>
      <c r="K40" s="404">
        <f t="shared" si="6"/>
        <v>1.6946493017417241E-2</v>
      </c>
    </row>
    <row r="41" spans="1:11">
      <c r="A41" s="46" t="s">
        <v>38</v>
      </c>
      <c r="B41" s="37" t="str">
        <f>INDEX(ListeMatières,27)</f>
        <v>Bombes aérosol en acier</v>
      </c>
      <c r="C41" s="163">
        <f>INDEX(tblMatières[Quantité déclarée (tonnes)],MATCH($B41,tblMatières[Matière],0))</f>
        <v>1674.335</v>
      </c>
      <c r="D41" s="176">
        <f>INDEX(tblMatières[Quantité générée (tonnes)],MATCH($B41,tblMatières[Matière],0))</f>
        <v>1674.335</v>
      </c>
      <c r="E41" s="176">
        <f>INDEX(tblMatières[Quantité récupérée (tonnes)],MATCH($B41,tblMatières[Matière],0))</f>
        <v>310.15292443013641</v>
      </c>
      <c r="F41" s="176">
        <f t="shared" si="4"/>
        <v>1364.1820755698636</v>
      </c>
      <c r="G41" s="157">
        <f>INDEX(tblMatières[% récupération],MATCH($B41,tblMatières[Matière],0))</f>
        <v>0.18523946786642839</v>
      </c>
      <c r="H41" s="343">
        <f>INDEX(tblMatières[Coût net ACA],MATCH($B41,tblMatières[Matière],0))</f>
        <v>-199.35473578776555</v>
      </c>
      <c r="I41" s="348">
        <f>INDEX(rgTarif_TxFinal,MATCH($B41,rgTarif_Matières,0))</f>
        <v>156.4</v>
      </c>
      <c r="J41" s="106">
        <v>144.21</v>
      </c>
      <c r="K41" s="400">
        <f>IF(J41&gt;0,I41/J41-1,0)</f>
        <v>8.4529505582137121E-2</v>
      </c>
    </row>
    <row r="42" spans="1:11">
      <c r="A42" s="46"/>
      <c r="B42" s="37" t="str">
        <f>INDEX(ListeMatières,28)</f>
        <v>Autres contenants en acier</v>
      </c>
      <c r="C42" s="163">
        <f>INDEX(tblMatières[Quantité déclarée (tonnes)],MATCH($B42,tblMatières[Matière],0))</f>
        <v>26835.954000000002</v>
      </c>
      <c r="D42" s="176">
        <f>INDEX(tblMatières[Quantité générée (tonnes)],MATCH($B42,tblMatières[Matière],0))</f>
        <v>26835.954000000002</v>
      </c>
      <c r="E42" s="176">
        <f>INDEX(tblMatières[Quantité récupérée (tonnes)],MATCH($B42,tblMatières[Matière],0))</f>
        <v>15021.2491713906</v>
      </c>
      <c r="F42" s="176">
        <f t="shared" si="4"/>
        <v>11814.704828609401</v>
      </c>
      <c r="G42" s="157">
        <f>INDEX(tblMatières[% récupération],MATCH($B42,tblMatières[Matière],0))</f>
        <v>0.55974343864915699</v>
      </c>
      <c r="H42" s="343">
        <f>INDEX(tblMatières[Coût net ACA],MATCH($B42,tblMatières[Matière],0))</f>
        <v>57.806525548425725</v>
      </c>
      <c r="I42" s="348">
        <f>INDEX(rgTarif_TxFinal,MATCH($B42,rgTarif_Matières,0))</f>
        <v>156.4</v>
      </c>
      <c r="J42" s="106">
        <v>144.21</v>
      </c>
      <c r="K42" s="400">
        <f>IF(J42&gt;0,I42/J42-1,0)</f>
        <v>8.4529505582137121E-2</v>
      </c>
    </row>
    <row r="43" spans="1:11">
      <c r="A43" s="43" t="s">
        <v>159</v>
      </c>
      <c r="B43" s="10"/>
      <c r="C43" s="167">
        <f>SUBTOTAL(9,C41:C42)</f>
        <v>28510.289000000001</v>
      </c>
      <c r="D43" s="180">
        <f t="shared" ref="D43" si="12">SUBTOTAL(9,D41:D42)</f>
        <v>28510.289000000001</v>
      </c>
      <c r="E43" s="180">
        <f t="shared" ref="E43" si="13">SUBTOTAL(9,E41:E42)</f>
        <v>15331.402095820737</v>
      </c>
      <c r="F43" s="180">
        <f t="shared" si="4"/>
        <v>13178.886904179264</v>
      </c>
      <c r="G43" s="161">
        <f>E43/D43</f>
        <v>0.53774979607610207</v>
      </c>
      <c r="H43" s="347"/>
      <c r="I43" s="350">
        <f>INDEX(rgTarif_TxFinal,MATCH($A43,Tarif!$B$11:$B$51,0))</f>
        <v>156.4</v>
      </c>
      <c r="J43" s="112">
        <v>144.21</v>
      </c>
      <c r="K43" s="404">
        <f>IF(J43&gt;0,I43/J43-1,0)</f>
        <v>8.4529505582137121E-2</v>
      </c>
    </row>
    <row r="44" spans="1:11">
      <c r="A44" s="46" t="s">
        <v>17</v>
      </c>
      <c r="B44" s="37" t="str">
        <f>INDEX(ListeMatières,29)</f>
        <v>Verre clair</v>
      </c>
      <c r="C44" s="163">
        <f>INDEX(tblMatières[Quantité déclarée (tonnes)],MATCH($B44,tblMatières[Matière],0))</f>
        <v>52387.877</v>
      </c>
      <c r="D44" s="176">
        <f>INDEX(tblMatières[Quantité générée (tonnes)],MATCH($B44,tblMatières[Matière],0))</f>
        <v>52387.877</v>
      </c>
      <c r="E44" s="176">
        <f>INDEX(tblMatières[Quantité récupérée (tonnes)],MATCH($B44,tblMatières[Matière],0))</f>
        <v>40467.652103728469</v>
      </c>
      <c r="F44" s="176">
        <f t="shared" si="4"/>
        <v>11920.224896271531</v>
      </c>
      <c r="G44" s="157">
        <f>INDEX(tblMatières[% récupération],MATCH($B44,tblMatières[Matière],0))</f>
        <v>0.77246215004529517</v>
      </c>
      <c r="H44" s="343">
        <f>INDEX(tblMatières[Coût net ACA],MATCH($B44,tblMatières[Matière],0))</f>
        <v>179.42087901446925</v>
      </c>
      <c r="I44" s="348">
        <f>INDEX(rgTarif_TxFinal,MATCH($B44,rgTarif_Matières,0))</f>
        <v>183.78</v>
      </c>
      <c r="J44" s="106">
        <v>145.66999999999999</v>
      </c>
      <c r="K44" s="400">
        <f t="shared" si="6"/>
        <v>0.26161872726024593</v>
      </c>
    </row>
    <row r="45" spans="1:11">
      <c r="A45" s="46"/>
      <c r="B45" s="37" t="str">
        <f>INDEX(ListeMatières,30)</f>
        <v>Verre coloré</v>
      </c>
      <c r="C45" s="163">
        <f>INDEX(tblMatières[Quantité déclarée (tonnes)],MATCH($B45,tblMatières[Matière],0))</f>
        <v>80574.570000000007</v>
      </c>
      <c r="D45" s="176">
        <f>INDEX(tblMatières[Quantité générée (tonnes)],MATCH($B45,tblMatières[Matière],0))</f>
        <v>80574.570000000007</v>
      </c>
      <c r="E45" s="176">
        <f>INDEX(tblMatières[Quantité récupérée (tonnes)],MATCH($B45,tblMatières[Matière],0))</f>
        <v>62240.805581175147</v>
      </c>
      <c r="F45" s="176">
        <f t="shared" si="4"/>
        <v>18333.76441882486</v>
      </c>
      <c r="G45" s="157">
        <f>INDEX(tblMatières[% récupération],MATCH($B45,tblMatières[Matière],0))</f>
        <v>0.77246215004529517</v>
      </c>
      <c r="H45" s="343">
        <f>INDEX(tblMatières[Coût net ACA],MATCH($B45,tblMatières[Matière],0))</f>
        <v>180.45839822769358</v>
      </c>
      <c r="I45" s="348">
        <f>INDEX(rgTarif_TxFinal,MATCH($B45,rgTarif_Matières,0))</f>
        <v>184.55</v>
      </c>
      <c r="J45" s="106">
        <v>141.61000000000001</v>
      </c>
      <c r="K45" s="400">
        <f t="shared" si="6"/>
        <v>0.30322717322223003</v>
      </c>
    </row>
    <row r="46" spans="1:11">
      <c r="A46" s="43" t="s">
        <v>32</v>
      </c>
      <c r="B46" s="10"/>
      <c r="C46" s="167">
        <f>SUBTOTAL(9,C44:C45)</f>
        <v>132962.44700000001</v>
      </c>
      <c r="D46" s="180">
        <f t="shared" ref="D46" si="14">SUBTOTAL(9,D44:D45)</f>
        <v>132962.44700000001</v>
      </c>
      <c r="E46" s="180">
        <f t="shared" ref="E46" si="15">SUBTOTAL(9,E44:E45)</f>
        <v>102708.45768490361</v>
      </c>
      <c r="F46" s="180">
        <f t="shared" si="4"/>
        <v>30253.989315096405</v>
      </c>
      <c r="G46" s="161">
        <f>E46/D46</f>
        <v>0.77246215004529506</v>
      </c>
      <c r="H46" s="113"/>
      <c r="I46" s="350">
        <f>INDEX(rgTarif_TxFinal,MATCH($A46,Tarif!$B$11:$B$51,0))</f>
        <v>184.24661610326712</v>
      </c>
      <c r="J46" s="112">
        <v>143.22</v>
      </c>
      <c r="K46" s="404">
        <f t="shared" si="6"/>
        <v>0.28645870760555181</v>
      </c>
    </row>
    <row r="47" spans="1:11" ht="15" thickBot="1">
      <c r="A47" s="56" t="s">
        <v>34</v>
      </c>
      <c r="B47" s="23"/>
      <c r="C47" s="164">
        <f>SUBTOTAL(9,C18:C46)</f>
        <v>479048.94300000003</v>
      </c>
      <c r="D47" s="177">
        <f t="shared" ref="D47:E47" si="16">SUBTOTAL(9,D18:D46)</f>
        <v>479048.94300000003</v>
      </c>
      <c r="E47" s="177">
        <f t="shared" si="16"/>
        <v>274825.51177788019</v>
      </c>
      <c r="F47" s="177">
        <f t="shared" si="4"/>
        <v>204223.43122211983</v>
      </c>
      <c r="G47" s="160">
        <f>E47/D47</f>
        <v>0.57368984065972606</v>
      </c>
      <c r="H47" s="109"/>
      <c r="I47" s="349">
        <f>INDEX(rgTarif_TxFinal,MATCH($A47,Tarif!$B$11:$B$51,0))</f>
        <v>246.57062562023484</v>
      </c>
      <c r="J47" s="108">
        <v>225.39</v>
      </c>
      <c r="K47" s="401">
        <f t="shared" si="6"/>
        <v>9.3973226941012733E-2</v>
      </c>
    </row>
    <row r="48" spans="1:11">
      <c r="A48" s="38"/>
      <c r="B48" s="35"/>
      <c r="C48" s="165"/>
      <c r="D48" s="178"/>
      <c r="E48" s="178"/>
      <c r="F48" s="178"/>
      <c r="G48" s="155"/>
      <c r="H48" s="140"/>
      <c r="I48" s="117"/>
      <c r="J48" s="116"/>
      <c r="K48" s="402"/>
    </row>
    <row r="49" spans="1:11" ht="15" thickBot="1">
      <c r="A49" s="57" t="s">
        <v>35</v>
      </c>
      <c r="B49" s="14"/>
      <c r="C49" s="168">
        <f>SUBTOTAL(9,C9:C47)</f>
        <v>637067.77300000004</v>
      </c>
      <c r="D49" s="181">
        <f t="shared" ref="D49:E49" si="17">SUBTOTAL(9,D9:D47)</f>
        <v>637067.77300000004</v>
      </c>
      <c r="E49" s="181">
        <f t="shared" si="17"/>
        <v>400693.19399743015</v>
      </c>
      <c r="F49" s="181">
        <f>D49-E49</f>
        <v>236374.5790025699</v>
      </c>
      <c r="G49" s="244">
        <f>E49/D49</f>
        <v>0.62896478362189912</v>
      </c>
      <c r="H49" s="141"/>
      <c r="I49" s="351">
        <f>INDEX(rgTarif_TxFinal,MATCH($A49,Tarif!$B$11:$B$51,0))</f>
        <v>236.08643268722088</v>
      </c>
      <c r="J49" s="118">
        <v>215.97</v>
      </c>
      <c r="K49" s="405">
        <f>IF(J49&gt;0,I49/J49-1,0)</f>
        <v>9.3144569556979473E-2</v>
      </c>
    </row>
    <row r="50" spans="1:11" ht="15" thickTop="1">
      <c r="C50" s="248"/>
    </row>
    <row r="51" spans="1:11">
      <c r="C51" s="248"/>
    </row>
    <row r="52" spans="1:11">
      <c r="C52" s="248"/>
    </row>
    <row r="53" spans="1:11">
      <c r="C53" s="248"/>
    </row>
    <row r="54" spans="1:11">
      <c r="C54" s="248"/>
    </row>
    <row r="55" spans="1:11">
      <c r="C55" s="248"/>
    </row>
    <row r="56" spans="1:11">
      <c r="C56" s="248"/>
    </row>
    <row r="57" spans="1:11">
      <c r="C57" s="248"/>
    </row>
    <row r="58" spans="1:11">
      <c r="C58" s="248"/>
    </row>
    <row r="59" spans="1:11">
      <c r="C59" s="248"/>
    </row>
    <row r="60" spans="1:11">
      <c r="C60" s="248"/>
    </row>
    <row r="61" spans="1:11">
      <c r="C61" s="248"/>
    </row>
    <row r="62" spans="1:11">
      <c r="C62" s="248"/>
    </row>
    <row r="63" spans="1:11">
      <c r="C63" s="248"/>
    </row>
    <row r="64" spans="1:11">
      <c r="C64" s="248"/>
    </row>
    <row r="65" spans="3:3">
      <c r="C65" s="248"/>
    </row>
    <row r="66" spans="3:3">
      <c r="C66" s="248"/>
    </row>
    <row r="67" spans="3:3">
      <c r="C67" s="248"/>
    </row>
    <row r="68" spans="3:3">
      <c r="C68" s="248"/>
    </row>
    <row r="69" spans="3:3">
      <c r="C69" s="248"/>
    </row>
    <row r="70" spans="3:3">
      <c r="C70" s="248"/>
    </row>
    <row r="71" spans="3:3">
      <c r="C71" s="248"/>
    </row>
    <row r="72" spans="3:3">
      <c r="C72" s="248"/>
    </row>
    <row r="73" spans="3:3">
      <c r="C73" s="248"/>
    </row>
    <row r="74" spans="3:3">
      <c r="C74" s="248"/>
    </row>
    <row r="75" spans="3:3">
      <c r="C75" s="248"/>
    </row>
    <row r="76" spans="3:3">
      <c r="C76" s="248"/>
    </row>
    <row r="77" spans="3:3">
      <c r="C77" s="248"/>
    </row>
    <row r="78" spans="3:3">
      <c r="C78" s="248"/>
    </row>
    <row r="79" spans="3:3">
      <c r="C79" s="248"/>
    </row>
    <row r="80" spans="3:3">
      <c r="C80" s="248"/>
    </row>
    <row r="81" spans="3:3">
      <c r="C81" s="248"/>
    </row>
    <row r="82" spans="3:3">
      <c r="C82" s="248"/>
    </row>
    <row r="83" spans="3:3">
      <c r="C83" s="248"/>
    </row>
    <row r="84" spans="3:3">
      <c r="C84" s="248"/>
    </row>
    <row r="85" spans="3:3">
      <c r="C85" s="248"/>
    </row>
    <row r="86" spans="3:3">
      <c r="C86" s="248"/>
    </row>
    <row r="87" spans="3:3">
      <c r="C87" s="248"/>
    </row>
    <row r="88" spans="3:3">
      <c r="C88" s="248"/>
    </row>
    <row r="89" spans="3:3">
      <c r="C89" s="248"/>
    </row>
    <row r="90" spans="3:3">
      <c r="C90" s="248"/>
    </row>
    <row r="91" spans="3:3">
      <c r="C91" s="248"/>
    </row>
    <row r="92" spans="3:3">
      <c r="C92" s="248"/>
    </row>
    <row r="93" spans="3:3">
      <c r="C93" s="248"/>
    </row>
    <row r="94" spans="3:3">
      <c r="C94" s="248"/>
    </row>
    <row r="95" spans="3:3">
      <c r="C95" s="248"/>
    </row>
    <row r="96" spans="3:3">
      <c r="C96" s="248"/>
    </row>
    <row r="97" spans="3:3">
      <c r="C97" s="248"/>
    </row>
    <row r="98" spans="3:3">
      <c r="C98" s="248"/>
    </row>
    <row r="99" spans="3:3">
      <c r="C99" s="248"/>
    </row>
    <row r="100" spans="3:3">
      <c r="C100" s="248"/>
    </row>
    <row r="101" spans="3:3">
      <c r="C101" s="248"/>
    </row>
    <row r="102" spans="3:3">
      <c r="C102" s="248"/>
    </row>
    <row r="103" spans="3:3">
      <c r="C103" s="248"/>
    </row>
    <row r="104" spans="3:3">
      <c r="C104" s="248"/>
    </row>
    <row r="105" spans="3:3">
      <c r="C105" s="248"/>
    </row>
    <row r="106" spans="3:3">
      <c r="C106" s="248"/>
    </row>
    <row r="107" spans="3:3">
      <c r="C107" s="248"/>
    </row>
    <row r="108" spans="3:3">
      <c r="C108" s="248"/>
    </row>
    <row r="109" spans="3:3">
      <c r="C109" s="248"/>
    </row>
    <row r="110" spans="3:3">
      <c r="C110" s="248"/>
    </row>
    <row r="111" spans="3:3">
      <c r="C111" s="248"/>
    </row>
    <row r="112" spans="3:3">
      <c r="C112" s="248"/>
    </row>
    <row r="113" spans="3:3">
      <c r="C113" s="248"/>
    </row>
    <row r="114" spans="3:3">
      <c r="C114" s="248"/>
    </row>
    <row r="115" spans="3:3">
      <c r="C115" s="248"/>
    </row>
    <row r="116" spans="3:3">
      <c r="C116" s="248"/>
    </row>
    <row r="117" spans="3:3">
      <c r="C117" s="248"/>
    </row>
    <row r="118" spans="3:3">
      <c r="C118" s="248"/>
    </row>
    <row r="119" spans="3:3">
      <c r="C119" s="248"/>
    </row>
    <row r="120" spans="3:3">
      <c r="C120" s="248"/>
    </row>
    <row r="121" spans="3:3">
      <c r="C121" s="248"/>
    </row>
    <row r="122" spans="3:3">
      <c r="C122" s="248"/>
    </row>
    <row r="123" spans="3:3">
      <c r="C123" s="248"/>
    </row>
    <row r="124" spans="3:3">
      <c r="C124" s="248"/>
    </row>
    <row r="125" spans="3:3">
      <c r="C125" s="248"/>
    </row>
    <row r="126" spans="3:3">
      <c r="C126" s="248"/>
    </row>
    <row r="127" spans="3:3">
      <c r="C127" s="248"/>
    </row>
    <row r="128" spans="3:3">
      <c r="C128" s="248"/>
    </row>
    <row r="129" spans="3:3">
      <c r="C129" s="248"/>
    </row>
    <row r="130" spans="3:3">
      <c r="C130" s="248"/>
    </row>
    <row r="131" spans="3:3">
      <c r="C131" s="248"/>
    </row>
    <row r="132" spans="3:3">
      <c r="C132" s="248"/>
    </row>
    <row r="133" spans="3:3">
      <c r="C133" s="248"/>
    </row>
    <row r="134" spans="3:3">
      <c r="C134" s="248"/>
    </row>
    <row r="135" spans="3:3">
      <c r="C135" s="248"/>
    </row>
    <row r="136" spans="3:3">
      <c r="C136" s="248"/>
    </row>
    <row r="137" spans="3:3">
      <c r="C137" s="248"/>
    </row>
    <row r="138" spans="3:3">
      <c r="C138" s="248"/>
    </row>
    <row r="139" spans="3:3">
      <c r="C139" s="248"/>
    </row>
    <row r="140" spans="3:3">
      <c r="C140" s="248"/>
    </row>
    <row r="141" spans="3:3">
      <c r="C141" s="248"/>
    </row>
    <row r="142" spans="3:3">
      <c r="C142" s="248"/>
    </row>
    <row r="143" spans="3:3">
      <c r="C143" s="248"/>
    </row>
    <row r="144" spans="3:3">
      <c r="C144" s="248"/>
    </row>
    <row r="145" spans="3:3">
      <c r="C145" s="248"/>
    </row>
    <row r="146" spans="3:3">
      <c r="C146" s="248"/>
    </row>
    <row r="147" spans="3:3">
      <c r="C147" s="248"/>
    </row>
    <row r="148" spans="3:3">
      <c r="C148" s="248"/>
    </row>
    <row r="149" spans="3:3">
      <c r="C149" s="248"/>
    </row>
    <row r="150" spans="3:3">
      <c r="C150" s="248"/>
    </row>
    <row r="151" spans="3:3">
      <c r="C151" s="248"/>
    </row>
    <row r="152" spans="3:3">
      <c r="C152" s="248"/>
    </row>
    <row r="153" spans="3:3">
      <c r="C153" s="248"/>
    </row>
    <row r="154" spans="3:3">
      <c r="C154" s="248"/>
    </row>
    <row r="155" spans="3:3">
      <c r="C155" s="248"/>
    </row>
    <row r="156" spans="3:3">
      <c r="C156" s="248"/>
    </row>
    <row r="157" spans="3:3">
      <c r="C157" s="248"/>
    </row>
    <row r="158" spans="3:3">
      <c r="C158" s="248"/>
    </row>
    <row r="159" spans="3:3">
      <c r="C159" s="248"/>
    </row>
    <row r="160" spans="3:3">
      <c r="C160" s="248"/>
    </row>
    <row r="161" spans="3:3">
      <c r="C161" s="248"/>
    </row>
    <row r="162" spans="3:3">
      <c r="C162" s="248"/>
    </row>
    <row r="163" spans="3:3">
      <c r="C163" s="248"/>
    </row>
    <row r="164" spans="3:3">
      <c r="C164" s="248"/>
    </row>
    <row r="165" spans="3:3">
      <c r="C165" s="248"/>
    </row>
    <row r="166" spans="3:3">
      <c r="C166" s="248"/>
    </row>
    <row r="167" spans="3:3">
      <c r="C167" s="248"/>
    </row>
    <row r="168" spans="3:3">
      <c r="C168" s="248"/>
    </row>
    <row r="169" spans="3:3">
      <c r="C169" s="248"/>
    </row>
    <row r="170" spans="3:3">
      <c r="C170" s="248"/>
    </row>
    <row r="171" spans="3:3">
      <c r="C171" s="248"/>
    </row>
    <row r="172" spans="3:3">
      <c r="C172" s="248"/>
    </row>
    <row r="173" spans="3:3">
      <c r="C173" s="248"/>
    </row>
    <row r="174" spans="3:3">
      <c r="C174" s="248"/>
    </row>
    <row r="175" spans="3:3">
      <c r="C175" s="248"/>
    </row>
    <row r="176" spans="3:3">
      <c r="C176" s="248"/>
    </row>
    <row r="177" spans="3:3">
      <c r="C177" s="248"/>
    </row>
    <row r="178" spans="3:3">
      <c r="C178" s="248"/>
    </row>
    <row r="179" spans="3:3">
      <c r="C179" s="248"/>
    </row>
    <row r="180" spans="3:3">
      <c r="C180" s="248"/>
    </row>
    <row r="181" spans="3:3">
      <c r="C181" s="248"/>
    </row>
    <row r="182" spans="3:3">
      <c r="C182" s="248"/>
    </row>
    <row r="183" spans="3:3">
      <c r="C183" s="248"/>
    </row>
    <row r="184" spans="3:3">
      <c r="C184" s="248"/>
    </row>
    <row r="185" spans="3:3">
      <c r="C185" s="248"/>
    </row>
    <row r="186" spans="3:3">
      <c r="C186" s="248"/>
    </row>
    <row r="187" spans="3:3">
      <c r="C187" s="248"/>
    </row>
    <row r="188" spans="3:3">
      <c r="C188" s="248"/>
    </row>
    <row r="189" spans="3:3">
      <c r="C189" s="248"/>
    </row>
    <row r="190" spans="3:3">
      <c r="C190" s="248"/>
    </row>
    <row r="191" spans="3:3">
      <c r="C191" s="248"/>
    </row>
    <row r="192" spans="3:3">
      <c r="C192" s="248"/>
    </row>
    <row r="193" spans="3:3">
      <c r="C193" s="248"/>
    </row>
    <row r="194" spans="3:3">
      <c r="C194" s="248"/>
    </row>
    <row r="195" spans="3:3">
      <c r="C195" s="248"/>
    </row>
    <row r="196" spans="3:3">
      <c r="C196" s="248"/>
    </row>
    <row r="197" spans="3:3">
      <c r="C197" s="248"/>
    </row>
    <row r="198" spans="3:3">
      <c r="C198" s="248"/>
    </row>
    <row r="199" spans="3:3">
      <c r="C199" s="248"/>
    </row>
    <row r="200" spans="3:3">
      <c r="C200" s="248"/>
    </row>
    <row r="201" spans="3:3">
      <c r="C201" s="248"/>
    </row>
    <row r="202" spans="3:3">
      <c r="C202" s="248"/>
    </row>
    <row r="203" spans="3:3">
      <c r="C203" s="248"/>
    </row>
    <row r="204" spans="3:3">
      <c r="C204" s="248"/>
    </row>
    <row r="205" spans="3:3">
      <c r="C205" s="248"/>
    </row>
    <row r="206" spans="3:3">
      <c r="C206" s="248"/>
    </row>
    <row r="207" spans="3:3">
      <c r="C207" s="248"/>
    </row>
    <row r="208" spans="3:3">
      <c r="C208" s="248"/>
    </row>
    <row r="209" spans="3:3">
      <c r="C209" s="248"/>
    </row>
    <row r="210" spans="3:3">
      <c r="C210" s="248"/>
    </row>
    <row r="211" spans="3:3">
      <c r="C211" s="248"/>
    </row>
    <row r="212" spans="3:3">
      <c r="C212" s="248"/>
    </row>
    <row r="213" spans="3:3">
      <c r="C213" s="248"/>
    </row>
    <row r="214" spans="3:3">
      <c r="C214" s="248"/>
    </row>
    <row r="215" spans="3:3">
      <c r="C215" s="248"/>
    </row>
    <row r="216" spans="3:3">
      <c r="C216" s="248"/>
    </row>
    <row r="217" spans="3:3">
      <c r="C217" s="248"/>
    </row>
    <row r="218" spans="3:3">
      <c r="C218" s="248"/>
    </row>
    <row r="219" spans="3:3">
      <c r="C219" s="248"/>
    </row>
    <row r="220" spans="3:3">
      <c r="C220" s="248"/>
    </row>
    <row r="221" spans="3:3">
      <c r="C221" s="248"/>
    </row>
    <row r="222" spans="3:3">
      <c r="C222" s="248"/>
    </row>
    <row r="223" spans="3:3">
      <c r="C223" s="248"/>
    </row>
    <row r="224" spans="3:3">
      <c r="C224" s="248"/>
    </row>
    <row r="225" spans="3:3">
      <c r="C225" s="248"/>
    </row>
    <row r="226" spans="3:3">
      <c r="C226" s="248"/>
    </row>
    <row r="227" spans="3:3">
      <c r="C227" s="248"/>
    </row>
    <row r="228" spans="3:3">
      <c r="C228" s="248"/>
    </row>
    <row r="229" spans="3:3">
      <c r="C229" s="248"/>
    </row>
    <row r="230" spans="3:3">
      <c r="C230" s="248"/>
    </row>
    <row r="231" spans="3:3">
      <c r="C231" s="248"/>
    </row>
    <row r="232" spans="3:3">
      <c r="C232" s="248"/>
    </row>
    <row r="233" spans="3:3">
      <c r="C233" s="248"/>
    </row>
    <row r="234" spans="3:3">
      <c r="C234" s="248"/>
    </row>
    <row r="235" spans="3:3">
      <c r="C235" s="248"/>
    </row>
    <row r="236" spans="3:3">
      <c r="C236" s="248"/>
    </row>
    <row r="237" spans="3:3">
      <c r="C237" s="248"/>
    </row>
    <row r="238" spans="3:3">
      <c r="C238" s="248"/>
    </row>
    <row r="239" spans="3:3">
      <c r="C239" s="248"/>
    </row>
    <row r="240" spans="3:3">
      <c r="C240" s="248"/>
    </row>
    <row r="241" spans="3:3">
      <c r="C241" s="248"/>
    </row>
    <row r="242" spans="3:3">
      <c r="C242" s="248"/>
    </row>
    <row r="243" spans="3:3">
      <c r="C243" s="248"/>
    </row>
    <row r="244" spans="3:3">
      <c r="C244" s="248"/>
    </row>
    <row r="245" spans="3:3">
      <c r="C245" s="248"/>
    </row>
    <row r="246" spans="3:3">
      <c r="C246" s="248"/>
    </row>
    <row r="247" spans="3:3">
      <c r="C247" s="248"/>
    </row>
    <row r="248" spans="3:3">
      <c r="C248" s="248"/>
    </row>
    <row r="249" spans="3:3">
      <c r="C249" s="248"/>
    </row>
    <row r="250" spans="3:3">
      <c r="C250" s="248"/>
    </row>
    <row r="251" spans="3:3">
      <c r="C251" s="248"/>
    </row>
    <row r="252" spans="3:3">
      <c r="C252" s="248"/>
    </row>
    <row r="253" spans="3:3">
      <c r="C253" s="248"/>
    </row>
    <row r="254" spans="3:3">
      <c r="C254" s="248"/>
    </row>
    <row r="255" spans="3:3">
      <c r="C255" s="248"/>
    </row>
    <row r="256" spans="3:3">
      <c r="C256" s="248"/>
    </row>
    <row r="257" spans="3:3">
      <c r="C257" s="248"/>
    </row>
    <row r="258" spans="3:3">
      <c r="C258" s="248"/>
    </row>
    <row r="259" spans="3:3">
      <c r="C259" s="248"/>
    </row>
    <row r="260" spans="3:3">
      <c r="C260" s="248"/>
    </row>
    <row r="261" spans="3:3">
      <c r="C261" s="248"/>
    </row>
    <row r="262" spans="3:3">
      <c r="C262" s="248"/>
    </row>
    <row r="263" spans="3:3">
      <c r="C263" s="248"/>
    </row>
    <row r="264" spans="3:3">
      <c r="C264" s="248"/>
    </row>
    <row r="265" spans="3:3">
      <c r="C265" s="248"/>
    </row>
    <row r="266" spans="3:3">
      <c r="C266" s="248"/>
    </row>
    <row r="267" spans="3:3">
      <c r="C267" s="248"/>
    </row>
    <row r="268" spans="3:3">
      <c r="C268" s="248"/>
    </row>
    <row r="269" spans="3:3">
      <c r="C269" s="248"/>
    </row>
    <row r="270" spans="3:3">
      <c r="C270" s="248"/>
    </row>
    <row r="271" spans="3:3">
      <c r="C271" s="248"/>
    </row>
    <row r="272" spans="3:3">
      <c r="C272" s="248"/>
    </row>
    <row r="273" spans="3:3">
      <c r="C273" s="248"/>
    </row>
    <row r="274" spans="3:3">
      <c r="C274" s="248"/>
    </row>
    <row r="275" spans="3:3">
      <c r="C275" s="248"/>
    </row>
    <row r="276" spans="3:3">
      <c r="C276" s="248"/>
    </row>
    <row r="277" spans="3:3">
      <c r="C277" s="248"/>
    </row>
    <row r="278" spans="3:3">
      <c r="C278" s="248"/>
    </row>
    <row r="279" spans="3:3">
      <c r="C279" s="248"/>
    </row>
    <row r="280" spans="3:3">
      <c r="C280" s="248"/>
    </row>
    <row r="281" spans="3:3">
      <c r="C281" s="248"/>
    </row>
    <row r="282" spans="3:3">
      <c r="C282" s="248"/>
    </row>
    <row r="283" spans="3:3">
      <c r="C283" s="248"/>
    </row>
    <row r="284" spans="3:3">
      <c r="C284" s="248"/>
    </row>
    <row r="285" spans="3:3">
      <c r="C285" s="248"/>
    </row>
    <row r="286" spans="3:3">
      <c r="C286" s="248"/>
    </row>
    <row r="287" spans="3:3">
      <c r="C287" s="248"/>
    </row>
    <row r="288" spans="3:3">
      <c r="C288" s="248"/>
    </row>
    <row r="289" spans="3:3">
      <c r="C289" s="248"/>
    </row>
    <row r="290" spans="3:3">
      <c r="C290" s="248"/>
    </row>
    <row r="291" spans="3:3">
      <c r="C291" s="248"/>
    </row>
    <row r="292" spans="3:3">
      <c r="C292" s="248"/>
    </row>
    <row r="293" spans="3:3">
      <c r="C293" s="248"/>
    </row>
    <row r="294" spans="3:3">
      <c r="C294" s="248"/>
    </row>
    <row r="295" spans="3:3">
      <c r="C295" s="248"/>
    </row>
    <row r="296" spans="3:3">
      <c r="C296" s="248"/>
    </row>
    <row r="297" spans="3:3">
      <c r="C297" s="248"/>
    </row>
    <row r="298" spans="3:3">
      <c r="C298" s="248"/>
    </row>
    <row r="299" spans="3:3">
      <c r="C299" s="248"/>
    </row>
    <row r="300" spans="3:3">
      <c r="C300" s="248"/>
    </row>
    <row r="301" spans="3:3">
      <c r="C301" s="248"/>
    </row>
    <row r="302" spans="3:3">
      <c r="C302" s="248"/>
    </row>
    <row r="303" spans="3:3">
      <c r="C303" s="248"/>
    </row>
    <row r="304" spans="3:3">
      <c r="C304" s="248"/>
    </row>
    <row r="305" spans="3:3">
      <c r="C305" s="248"/>
    </row>
    <row r="306" spans="3:3">
      <c r="C306" s="248"/>
    </row>
    <row r="307" spans="3:3">
      <c r="C307" s="248"/>
    </row>
    <row r="308" spans="3:3">
      <c r="C308" s="248"/>
    </row>
    <row r="309" spans="3:3">
      <c r="C309" s="248"/>
    </row>
    <row r="310" spans="3:3">
      <c r="C310" s="248"/>
    </row>
    <row r="311" spans="3:3">
      <c r="C311" s="248"/>
    </row>
    <row r="312" spans="3:3">
      <c r="C312" s="248"/>
    </row>
    <row r="313" spans="3:3">
      <c r="C313" s="248"/>
    </row>
    <row r="314" spans="3:3">
      <c r="C314" s="248"/>
    </row>
    <row r="315" spans="3:3">
      <c r="C315" s="248"/>
    </row>
    <row r="316" spans="3:3">
      <c r="C316" s="248"/>
    </row>
    <row r="317" spans="3:3">
      <c r="C317" s="248"/>
    </row>
    <row r="318" spans="3:3">
      <c r="C318" s="248"/>
    </row>
    <row r="319" spans="3:3">
      <c r="C319" s="248"/>
    </row>
    <row r="320" spans="3:3">
      <c r="C320" s="248"/>
    </row>
    <row r="321" spans="3:3">
      <c r="C321" s="248"/>
    </row>
    <row r="322" spans="3:3">
      <c r="C322" s="248"/>
    </row>
    <row r="323" spans="3:3">
      <c r="C323" s="248"/>
    </row>
    <row r="324" spans="3:3">
      <c r="C324" s="248"/>
    </row>
    <row r="325" spans="3:3">
      <c r="C325" s="248"/>
    </row>
    <row r="326" spans="3:3">
      <c r="C326" s="248"/>
    </row>
    <row r="327" spans="3:3">
      <c r="C327" s="248"/>
    </row>
    <row r="328" spans="3:3">
      <c r="C328" s="248"/>
    </row>
    <row r="329" spans="3:3">
      <c r="C329" s="248"/>
    </row>
    <row r="330" spans="3:3">
      <c r="C330" s="248"/>
    </row>
    <row r="331" spans="3:3">
      <c r="C331" s="248"/>
    </row>
    <row r="332" spans="3:3">
      <c r="C332" s="248"/>
    </row>
    <row r="333" spans="3:3">
      <c r="C333" s="248"/>
    </row>
    <row r="334" spans="3:3">
      <c r="C334" s="248"/>
    </row>
    <row r="335" spans="3:3">
      <c r="C335" s="248"/>
    </row>
    <row r="336" spans="3:3">
      <c r="C336" s="248"/>
    </row>
    <row r="337" spans="3:3">
      <c r="C337" s="248"/>
    </row>
    <row r="338" spans="3:3">
      <c r="C338" s="248"/>
    </row>
    <row r="339" spans="3:3">
      <c r="C339" s="248"/>
    </row>
    <row r="340" spans="3:3">
      <c r="C340" s="248"/>
    </row>
    <row r="341" spans="3:3">
      <c r="C341" s="248"/>
    </row>
    <row r="342" spans="3:3">
      <c r="C342" s="248"/>
    </row>
    <row r="343" spans="3:3">
      <c r="C343" s="248"/>
    </row>
    <row r="344" spans="3:3">
      <c r="C344" s="248"/>
    </row>
    <row r="345" spans="3:3">
      <c r="C345" s="248"/>
    </row>
    <row r="346" spans="3:3">
      <c r="C346" s="248"/>
    </row>
    <row r="347" spans="3:3">
      <c r="C347" s="248"/>
    </row>
    <row r="348" spans="3:3">
      <c r="C348" s="248"/>
    </row>
    <row r="349" spans="3:3">
      <c r="C349" s="248"/>
    </row>
    <row r="350" spans="3:3">
      <c r="C350" s="248"/>
    </row>
    <row r="351" spans="3:3">
      <c r="C351" s="248"/>
    </row>
    <row r="352" spans="3:3">
      <c r="C352" s="248"/>
    </row>
    <row r="353" spans="3:3">
      <c r="C353" s="248"/>
    </row>
    <row r="354" spans="3:3">
      <c r="C354" s="248"/>
    </row>
    <row r="355" spans="3:3">
      <c r="C355" s="248"/>
    </row>
    <row r="356" spans="3:3">
      <c r="C356" s="248"/>
    </row>
    <row r="357" spans="3:3">
      <c r="C357" s="248"/>
    </row>
    <row r="358" spans="3:3">
      <c r="C358" s="248"/>
    </row>
    <row r="359" spans="3:3">
      <c r="C359" s="248"/>
    </row>
    <row r="360" spans="3:3">
      <c r="C360" s="248"/>
    </row>
    <row r="361" spans="3:3">
      <c r="C361" s="248"/>
    </row>
    <row r="362" spans="3:3">
      <c r="C362" s="248"/>
    </row>
    <row r="363" spans="3:3">
      <c r="C363" s="248"/>
    </row>
    <row r="364" spans="3:3">
      <c r="C364" s="248"/>
    </row>
    <row r="365" spans="3:3">
      <c r="C365" s="248"/>
    </row>
    <row r="366" spans="3:3">
      <c r="C366" s="248"/>
    </row>
    <row r="367" spans="3:3">
      <c r="C367" s="248"/>
    </row>
    <row r="368" spans="3:3">
      <c r="C368" s="248"/>
    </row>
    <row r="369" spans="3:3">
      <c r="C369" s="248"/>
    </row>
    <row r="370" spans="3:3">
      <c r="C370" s="248"/>
    </row>
    <row r="371" spans="3:3">
      <c r="C371" s="248"/>
    </row>
    <row r="372" spans="3:3">
      <c r="C372" s="248"/>
    </row>
    <row r="373" spans="3:3">
      <c r="C373" s="248"/>
    </row>
    <row r="374" spans="3:3">
      <c r="C374" s="248"/>
    </row>
    <row r="375" spans="3:3">
      <c r="C375" s="248"/>
    </row>
    <row r="376" spans="3:3">
      <c r="C376" s="248"/>
    </row>
    <row r="377" spans="3:3">
      <c r="C377" s="248"/>
    </row>
    <row r="378" spans="3:3">
      <c r="C378" s="248"/>
    </row>
    <row r="379" spans="3:3">
      <c r="C379" s="248"/>
    </row>
    <row r="380" spans="3:3">
      <c r="C380" s="248"/>
    </row>
    <row r="381" spans="3:3">
      <c r="C381" s="248"/>
    </row>
    <row r="382" spans="3:3">
      <c r="C382" s="248"/>
    </row>
    <row r="383" spans="3:3">
      <c r="C383" s="248"/>
    </row>
    <row r="384" spans="3:3">
      <c r="C384" s="248"/>
    </row>
    <row r="385" spans="3:3">
      <c r="C385" s="248"/>
    </row>
    <row r="386" spans="3:3">
      <c r="C386" s="248"/>
    </row>
    <row r="387" spans="3:3">
      <c r="C387" s="248"/>
    </row>
    <row r="388" spans="3:3">
      <c r="C388" s="248"/>
    </row>
    <row r="389" spans="3:3">
      <c r="C389" s="248"/>
    </row>
    <row r="390" spans="3:3">
      <c r="C390" s="248"/>
    </row>
    <row r="391" spans="3:3">
      <c r="C391" s="248"/>
    </row>
    <row r="392" spans="3:3">
      <c r="C392" s="248"/>
    </row>
    <row r="393" spans="3:3">
      <c r="C393" s="248"/>
    </row>
    <row r="394" spans="3:3">
      <c r="C394" s="248"/>
    </row>
    <row r="395" spans="3:3">
      <c r="C395" s="248"/>
    </row>
    <row r="396" spans="3:3">
      <c r="C396" s="248"/>
    </row>
    <row r="397" spans="3:3">
      <c r="C397" s="248"/>
    </row>
    <row r="398" spans="3:3">
      <c r="C398" s="248"/>
    </row>
    <row r="399" spans="3:3">
      <c r="C399" s="248"/>
    </row>
    <row r="400" spans="3:3">
      <c r="C400" s="248"/>
    </row>
    <row r="401" spans="3:3">
      <c r="C401" s="248"/>
    </row>
    <row r="402" spans="3:3">
      <c r="C402" s="248"/>
    </row>
    <row r="403" spans="3:3">
      <c r="C403" s="248"/>
    </row>
    <row r="404" spans="3:3">
      <c r="C404" s="248"/>
    </row>
    <row r="405" spans="3:3">
      <c r="C405" s="248"/>
    </row>
    <row r="406" spans="3:3">
      <c r="C406" s="248"/>
    </row>
    <row r="407" spans="3:3">
      <c r="C407" s="248"/>
    </row>
    <row r="408" spans="3:3">
      <c r="C408" s="248"/>
    </row>
    <row r="409" spans="3:3">
      <c r="C409" s="248"/>
    </row>
    <row r="410" spans="3:3">
      <c r="C410" s="248"/>
    </row>
    <row r="411" spans="3:3">
      <c r="C411" s="248"/>
    </row>
    <row r="412" spans="3:3">
      <c r="C412" s="248"/>
    </row>
    <row r="413" spans="3:3">
      <c r="C413" s="248"/>
    </row>
    <row r="414" spans="3:3">
      <c r="C414" s="248"/>
    </row>
    <row r="415" spans="3:3">
      <c r="C415" s="248"/>
    </row>
    <row r="416" spans="3:3">
      <c r="C416" s="248"/>
    </row>
    <row r="417" spans="3:3">
      <c r="C417" s="248"/>
    </row>
    <row r="418" spans="3:3">
      <c r="C418" s="248"/>
    </row>
    <row r="419" spans="3:3">
      <c r="C419" s="248"/>
    </row>
    <row r="420" spans="3:3">
      <c r="C420" s="248"/>
    </row>
    <row r="421" spans="3:3">
      <c r="C421" s="248"/>
    </row>
    <row r="422" spans="3:3">
      <c r="C422" s="248"/>
    </row>
    <row r="423" spans="3:3">
      <c r="C423" s="248"/>
    </row>
    <row r="424" spans="3:3">
      <c r="C424" s="248"/>
    </row>
    <row r="425" spans="3:3">
      <c r="C425" s="248"/>
    </row>
    <row r="426" spans="3:3">
      <c r="C426" s="248"/>
    </row>
    <row r="427" spans="3:3">
      <c r="C427" s="248"/>
    </row>
    <row r="428" spans="3:3">
      <c r="C428" s="248"/>
    </row>
    <row r="429" spans="3:3">
      <c r="C429" s="248"/>
    </row>
    <row r="430" spans="3:3">
      <c r="C430" s="248"/>
    </row>
    <row r="431" spans="3:3">
      <c r="C431" s="248"/>
    </row>
    <row r="432" spans="3:3">
      <c r="C432" s="248"/>
    </row>
    <row r="433" spans="3:3">
      <c r="C433" s="248"/>
    </row>
    <row r="434" spans="3:3">
      <c r="C434" s="248"/>
    </row>
    <row r="435" spans="3:3">
      <c r="C435" s="248"/>
    </row>
    <row r="436" spans="3:3">
      <c r="C436" s="248"/>
    </row>
    <row r="437" spans="3:3">
      <c r="C437" s="248"/>
    </row>
    <row r="438" spans="3:3">
      <c r="C438" s="248"/>
    </row>
    <row r="439" spans="3:3">
      <c r="C439" s="248"/>
    </row>
    <row r="440" spans="3:3">
      <c r="C440" s="248"/>
    </row>
    <row r="441" spans="3:3">
      <c r="C441" s="248"/>
    </row>
    <row r="442" spans="3:3">
      <c r="C442" s="248"/>
    </row>
    <row r="443" spans="3:3">
      <c r="C443" s="248"/>
    </row>
    <row r="444" spans="3:3">
      <c r="C444" s="248"/>
    </row>
    <row r="445" spans="3:3">
      <c r="C445" s="248"/>
    </row>
    <row r="446" spans="3:3">
      <c r="C446" s="248"/>
    </row>
    <row r="447" spans="3:3">
      <c r="C447" s="248"/>
    </row>
    <row r="448" spans="3:3">
      <c r="C448" s="248"/>
    </row>
    <row r="449" spans="3:3">
      <c r="C449" s="248"/>
    </row>
    <row r="450" spans="3:3">
      <c r="C450" s="248"/>
    </row>
    <row r="451" spans="3:3">
      <c r="C451" s="248"/>
    </row>
    <row r="452" spans="3:3">
      <c r="C452" s="248"/>
    </row>
    <row r="453" spans="3:3">
      <c r="C453" s="248"/>
    </row>
    <row r="454" spans="3:3">
      <c r="C454" s="248"/>
    </row>
    <row r="455" spans="3:3">
      <c r="C455" s="248"/>
    </row>
    <row r="456" spans="3:3">
      <c r="C456" s="248"/>
    </row>
    <row r="457" spans="3:3">
      <c r="C457" s="248"/>
    </row>
    <row r="458" spans="3:3">
      <c r="C458" s="248"/>
    </row>
    <row r="459" spans="3:3">
      <c r="C459" s="248"/>
    </row>
    <row r="460" spans="3:3">
      <c r="C460" s="248"/>
    </row>
    <row r="461" spans="3:3">
      <c r="C461" s="248"/>
    </row>
    <row r="462" spans="3:3">
      <c r="C462" s="248"/>
    </row>
    <row r="463" spans="3:3">
      <c r="C463" s="248"/>
    </row>
    <row r="464" spans="3:3">
      <c r="C464" s="248"/>
    </row>
    <row r="465" spans="3:3">
      <c r="C465" s="248"/>
    </row>
    <row r="466" spans="3:3">
      <c r="C466" s="248"/>
    </row>
    <row r="467" spans="3:3">
      <c r="C467" s="248"/>
    </row>
    <row r="468" spans="3:3">
      <c r="C468" s="248"/>
    </row>
    <row r="469" spans="3:3">
      <c r="C469" s="248"/>
    </row>
    <row r="470" spans="3:3">
      <c r="C470" s="248"/>
    </row>
    <row r="471" spans="3:3">
      <c r="C471" s="248"/>
    </row>
    <row r="472" spans="3:3">
      <c r="C472" s="248"/>
    </row>
    <row r="473" spans="3:3">
      <c r="C473" s="248"/>
    </row>
    <row r="474" spans="3:3">
      <c r="C474" s="248"/>
    </row>
    <row r="475" spans="3:3">
      <c r="C475" s="248"/>
    </row>
    <row r="476" spans="3:3">
      <c r="C476" s="248"/>
    </row>
    <row r="477" spans="3:3">
      <c r="C477" s="248"/>
    </row>
    <row r="478" spans="3:3">
      <c r="C478" s="248"/>
    </row>
    <row r="479" spans="3:3">
      <c r="C479" s="248"/>
    </row>
    <row r="480" spans="3:3">
      <c r="C480" s="248"/>
    </row>
    <row r="481" spans="3:3">
      <c r="C481" s="248"/>
    </row>
    <row r="482" spans="3:3">
      <c r="C482" s="248"/>
    </row>
    <row r="483" spans="3:3">
      <c r="C483" s="248"/>
    </row>
    <row r="484" spans="3:3">
      <c r="C484" s="248"/>
    </row>
    <row r="485" spans="3:3">
      <c r="C485" s="248"/>
    </row>
    <row r="486" spans="3:3">
      <c r="C486" s="248"/>
    </row>
    <row r="487" spans="3:3">
      <c r="C487" s="248"/>
    </row>
    <row r="488" spans="3:3">
      <c r="C488" s="248"/>
    </row>
    <row r="489" spans="3:3">
      <c r="C489" s="248"/>
    </row>
    <row r="490" spans="3:3">
      <c r="C490" s="248"/>
    </row>
    <row r="491" spans="3:3">
      <c r="C491" s="248"/>
    </row>
    <row r="492" spans="3:3">
      <c r="C492" s="248"/>
    </row>
    <row r="493" spans="3:3">
      <c r="C493" s="248"/>
    </row>
    <row r="494" spans="3:3">
      <c r="C494" s="248"/>
    </row>
    <row r="495" spans="3:3">
      <c r="C495" s="248"/>
    </row>
    <row r="496" spans="3:3">
      <c r="C496" s="248"/>
    </row>
    <row r="497" spans="3:3">
      <c r="C497" s="248"/>
    </row>
    <row r="498" spans="3:3">
      <c r="C498" s="248"/>
    </row>
    <row r="499" spans="3:3">
      <c r="C499" s="248"/>
    </row>
    <row r="500" spans="3:3">
      <c r="C500" s="248"/>
    </row>
    <row r="501" spans="3:3">
      <c r="C501" s="248"/>
    </row>
    <row r="502" spans="3:3">
      <c r="C502" s="248"/>
    </row>
    <row r="503" spans="3:3">
      <c r="C503" s="248"/>
    </row>
    <row r="504" spans="3:3">
      <c r="C504" s="248"/>
    </row>
    <row r="505" spans="3:3">
      <c r="C505" s="248"/>
    </row>
    <row r="506" spans="3:3">
      <c r="C506" s="248"/>
    </row>
    <row r="507" spans="3:3">
      <c r="C507" s="248"/>
    </row>
    <row r="508" spans="3:3">
      <c r="C508" s="248"/>
    </row>
    <row r="509" spans="3:3">
      <c r="C509" s="248"/>
    </row>
    <row r="510" spans="3:3">
      <c r="C510" s="248"/>
    </row>
    <row r="511" spans="3:3">
      <c r="C511" s="248"/>
    </row>
    <row r="512" spans="3:3">
      <c r="C512" s="248"/>
    </row>
    <row r="513" spans="3:3">
      <c r="C513" s="248"/>
    </row>
    <row r="514" spans="3:3">
      <c r="C514" s="248"/>
    </row>
    <row r="515" spans="3:3">
      <c r="C515" s="248"/>
    </row>
    <row r="516" spans="3:3">
      <c r="C516" s="248"/>
    </row>
    <row r="517" spans="3:3">
      <c r="C517" s="248"/>
    </row>
    <row r="518" spans="3:3">
      <c r="C518" s="248"/>
    </row>
    <row r="519" spans="3:3">
      <c r="C519" s="248"/>
    </row>
    <row r="520" spans="3:3">
      <c r="C520" s="248"/>
    </row>
    <row r="521" spans="3:3">
      <c r="C521" s="248"/>
    </row>
    <row r="522" spans="3:3">
      <c r="C522" s="248"/>
    </row>
    <row r="523" spans="3:3">
      <c r="C523" s="248"/>
    </row>
    <row r="524" spans="3:3">
      <c r="C524" s="248"/>
    </row>
    <row r="525" spans="3:3">
      <c r="C525" s="248"/>
    </row>
    <row r="526" spans="3:3">
      <c r="C526" s="248"/>
    </row>
    <row r="527" spans="3:3">
      <c r="C527" s="248"/>
    </row>
    <row r="528" spans="3:3">
      <c r="C528" s="248"/>
    </row>
    <row r="529" spans="3:3">
      <c r="C529" s="248"/>
    </row>
    <row r="530" spans="3:3">
      <c r="C530" s="248"/>
    </row>
    <row r="531" spans="3:3">
      <c r="C531" s="248"/>
    </row>
    <row r="532" spans="3:3">
      <c r="C532" s="248"/>
    </row>
    <row r="533" spans="3:3">
      <c r="C533" s="248"/>
    </row>
    <row r="534" spans="3:3">
      <c r="C534" s="248"/>
    </row>
    <row r="535" spans="3:3">
      <c r="C535" s="248"/>
    </row>
    <row r="536" spans="3:3">
      <c r="C536" s="248"/>
    </row>
    <row r="537" spans="3:3">
      <c r="C537" s="248"/>
    </row>
    <row r="538" spans="3:3">
      <c r="C538" s="248"/>
    </row>
    <row r="539" spans="3:3">
      <c r="C539" s="248"/>
    </row>
    <row r="540" spans="3:3">
      <c r="C540" s="248"/>
    </row>
    <row r="541" spans="3:3">
      <c r="C541" s="248"/>
    </row>
    <row r="542" spans="3:3">
      <c r="C542" s="248"/>
    </row>
    <row r="543" spans="3:3">
      <c r="C543" s="248"/>
    </row>
    <row r="544" spans="3:3">
      <c r="C544" s="248"/>
    </row>
    <row r="545" spans="3:3">
      <c r="C545" s="248"/>
    </row>
    <row r="546" spans="3:3">
      <c r="C546" s="248"/>
    </row>
    <row r="547" spans="3:3">
      <c r="C547" s="248"/>
    </row>
    <row r="548" spans="3:3">
      <c r="C548" s="248"/>
    </row>
    <row r="549" spans="3:3">
      <c r="C549" s="248"/>
    </row>
    <row r="550" spans="3:3">
      <c r="C550" s="248"/>
    </row>
    <row r="551" spans="3:3">
      <c r="C551" s="248"/>
    </row>
    <row r="552" spans="3:3">
      <c r="C552" s="248"/>
    </row>
    <row r="553" spans="3:3">
      <c r="C553" s="248"/>
    </row>
    <row r="554" spans="3:3">
      <c r="C554" s="248"/>
    </row>
    <row r="555" spans="3:3">
      <c r="C555" s="248"/>
    </row>
    <row r="556" spans="3:3">
      <c r="C556" s="248"/>
    </row>
    <row r="557" spans="3:3">
      <c r="C557" s="248"/>
    </row>
    <row r="558" spans="3:3">
      <c r="C558" s="248"/>
    </row>
  </sheetData>
  <sheetProtection password="82A0" sheet="1" objects="1" scenarios="1"/>
  <mergeCells count="2">
    <mergeCell ref="C6:H6"/>
    <mergeCell ref="J6:K6"/>
  </mergeCells>
  <conditionalFormatting sqref="K9:K49">
    <cfRule type="dataBar" priority="2">
      <dataBar>
        <cfvo type="min"/>
        <cfvo type="max"/>
        <color rgb="FF638EC6"/>
      </dataBar>
      <extLst>
        <ext xmlns:x14="http://schemas.microsoft.com/office/spreadsheetml/2009/9/main" uri="{B025F937-C7B1-47D3-B67F-A62EFF666E3E}">
          <x14:id>{794E2B5D-073A-460C-A766-FD0B4EFA3E5E}</x14:id>
        </ext>
      </extLst>
    </cfRule>
  </conditionalFormatting>
  <pageMargins left="0.7" right="0.7" top="0.75" bottom="0.75" header="0.3" footer="0.3"/>
  <pageSetup paperSize="3" scale="84" fitToHeight="0" orientation="landscape" r:id="rId1"/>
  <ignoredErrors>
    <ignoredError sqref="G37 G40 G43 H25:I25 H37:I37 H40:I40 H43:I43 K25 K37 K40 K43" 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theme="6" tint="-0.249977111117893"/>
              <x14:negativeBorderColor theme="6" tint="-0.249977111117893"/>
              <x14:axisColor rgb="FF000000"/>
            </x14:dataBar>
          </x14:cfRule>
          <xm:sqref>K9:K49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J79"/>
  <sheetViews>
    <sheetView showGridLines="0" zoomScale="90" zoomScaleNormal="90" zoomScaleSheetLayoutView="85" workbookViewId="0">
      <selection activeCell="B88" sqref="B87:B88"/>
    </sheetView>
  </sheetViews>
  <sheetFormatPr baseColWidth="10" defaultColWidth="9.109375" defaultRowHeight="13.8"/>
  <cols>
    <col min="1" max="1" width="3.6640625" style="35" customWidth="1"/>
    <col min="2" max="2" width="56.44140625" style="3" customWidth="1"/>
    <col min="3" max="3" width="34.5546875" style="3" customWidth="1"/>
    <col min="4" max="4" width="24.109375" style="3" customWidth="1"/>
    <col min="5" max="5" width="26.88671875" style="35" customWidth="1"/>
    <col min="6" max="6" width="26.88671875" style="3" customWidth="1"/>
    <col min="7" max="7" width="18" style="3" bestFit="1" customWidth="1"/>
    <col min="8" max="8" width="19.5546875" style="3" bestFit="1" customWidth="1"/>
    <col min="9" max="9" width="21.109375" style="3" customWidth="1"/>
    <col min="10" max="10" width="12.44140625" style="3" bestFit="1" customWidth="1"/>
    <col min="11" max="16384" width="9.109375" style="3"/>
  </cols>
  <sheetData>
    <row r="1" spans="1:10" s="5" customFormat="1" ht="14.4" thickBot="1">
      <c r="A1" s="36"/>
      <c r="B1" s="4" t="s">
        <v>0</v>
      </c>
      <c r="E1" s="36"/>
    </row>
    <row r="2" spans="1:10">
      <c r="B2" s="2"/>
      <c r="C2" s="2"/>
    </row>
    <row r="3" spans="1:10" ht="14.4" thickBot="1">
      <c r="B3" s="366" t="s">
        <v>100</v>
      </c>
      <c r="C3" s="367"/>
      <c r="J3" s="37"/>
    </row>
    <row r="4" spans="1:10" s="35" customFormat="1" ht="14.4" thickTop="1">
      <c r="B4" s="426" t="s">
        <v>54</v>
      </c>
      <c r="C4" s="261">
        <v>2016</v>
      </c>
      <c r="J4" s="37"/>
    </row>
    <row r="5" spans="1:10">
      <c r="B5" s="426" t="s">
        <v>53</v>
      </c>
      <c r="C5" s="262" t="s">
        <v>234</v>
      </c>
      <c r="J5" s="37"/>
    </row>
    <row r="6" spans="1:10">
      <c r="B6" s="427" t="s">
        <v>55</v>
      </c>
      <c r="C6" s="263">
        <v>2015</v>
      </c>
      <c r="J6" s="37"/>
    </row>
    <row r="7" spans="1:10" ht="18.75" customHeight="1">
      <c r="C7" s="264"/>
      <c r="J7" s="37"/>
    </row>
    <row r="8" spans="1:10">
      <c r="B8" s="481" t="s">
        <v>74</v>
      </c>
      <c r="C8" s="482"/>
      <c r="D8" s="643"/>
      <c r="E8" s="643"/>
      <c r="F8" s="643"/>
      <c r="J8" s="37"/>
    </row>
    <row r="9" spans="1:10" s="35" customFormat="1" ht="15.75" customHeight="1">
      <c r="B9" s="483" t="str">
        <f>"Coûts nets déclarés par les municipalités " &amp;AnnéeRéf</f>
        <v>Coûts nets déclarés par les municipalités 2015</v>
      </c>
      <c r="C9" s="484">
        <v>162767617.64037281</v>
      </c>
      <c r="D9" s="468" t="s">
        <v>167</v>
      </c>
      <c r="E9" s="361"/>
      <c r="F9" s="361"/>
      <c r="J9" s="37"/>
    </row>
    <row r="10" spans="1:10" ht="15.75" customHeight="1">
      <c r="B10" s="426" t="s">
        <v>163</v>
      </c>
      <c r="C10" s="359">
        <v>-6.6000000000000003E-2</v>
      </c>
      <c r="D10" s="468"/>
      <c r="E10" s="361"/>
      <c r="F10" s="361"/>
      <c r="J10" s="37"/>
    </row>
    <row r="11" spans="1:10" s="35" customFormat="1" ht="15.75" customHeight="1">
      <c r="B11" s="426" t="s">
        <v>141</v>
      </c>
      <c r="C11" s="250">
        <v>-0.05</v>
      </c>
      <c r="D11" s="468" t="s">
        <v>167</v>
      </c>
      <c r="E11" s="412"/>
      <c r="F11" s="412"/>
      <c r="J11" s="37"/>
    </row>
    <row r="12" spans="1:10" ht="15.75" customHeight="1">
      <c r="B12" s="426" t="s">
        <v>108</v>
      </c>
      <c r="C12" s="250">
        <f>8.55%</f>
        <v>8.5500000000000007E-2</v>
      </c>
      <c r="D12" s="489" t="s">
        <v>145</v>
      </c>
      <c r="E12" s="512"/>
      <c r="F12" s="512"/>
      <c r="J12" s="37"/>
    </row>
    <row r="13" spans="1:10" ht="15.75" customHeight="1">
      <c r="B13" s="428" t="s">
        <v>106</v>
      </c>
      <c r="C13" s="249">
        <v>1</v>
      </c>
      <c r="D13" s="489" t="s">
        <v>146</v>
      </c>
      <c r="E13" s="512"/>
      <c r="F13" s="512"/>
      <c r="J13" s="37"/>
    </row>
    <row r="14" spans="1:10" ht="15.75" customHeight="1">
      <c r="B14" s="426" t="s">
        <v>107</v>
      </c>
      <c r="C14" s="370">
        <f>PartCoutImprimés+PartCoutContenants</f>
        <v>0.91300000000000003</v>
      </c>
      <c r="D14" s="640"/>
      <c r="E14" s="640"/>
      <c r="F14" s="640"/>
      <c r="J14" s="37"/>
    </row>
    <row r="15" spans="1:10" s="35" customFormat="1" ht="15.75" customHeight="1">
      <c r="B15" s="426" t="s">
        <v>142</v>
      </c>
      <c r="C15" s="358">
        <f>7600000 * 1.1</f>
        <v>8360000.0000000009</v>
      </c>
      <c r="D15" s="468" t="s">
        <v>144</v>
      </c>
      <c r="E15" s="361"/>
      <c r="F15" s="361"/>
      <c r="J15" s="37"/>
    </row>
    <row r="16" spans="1:10" ht="15.75" customHeight="1">
      <c r="B16" s="426" t="s">
        <v>109</v>
      </c>
      <c r="C16" s="357">
        <v>0.02</v>
      </c>
      <c r="D16" s="468" t="s">
        <v>143</v>
      </c>
      <c r="E16" s="361"/>
      <c r="F16" s="361"/>
      <c r="J16" s="37"/>
    </row>
    <row r="17" spans="2:10" ht="15.75" customHeight="1">
      <c r="B17" s="426" t="s">
        <v>65</v>
      </c>
      <c r="C17" s="356">
        <v>2943637</v>
      </c>
      <c r="D17" s="640"/>
      <c r="E17" s="640"/>
      <c r="F17" s="640"/>
      <c r="J17" s="37"/>
    </row>
    <row r="18" spans="2:10" ht="15.75" customHeight="1">
      <c r="B18" s="426" t="s">
        <v>110</v>
      </c>
      <c r="C18" s="356">
        <v>2386363</v>
      </c>
      <c r="D18" s="640"/>
      <c r="E18" s="640"/>
      <c r="F18" s="640"/>
      <c r="J18" s="37"/>
    </row>
    <row r="19" spans="2:10" ht="15.75" customHeight="1">
      <c r="B19" s="426" t="s">
        <v>2</v>
      </c>
      <c r="C19" s="480">
        <v>0.02</v>
      </c>
      <c r="D19" s="479"/>
      <c r="E19" s="413"/>
      <c r="F19" s="413"/>
      <c r="G19" s="146"/>
      <c r="H19" s="146"/>
      <c r="I19" s="146"/>
      <c r="J19" s="37"/>
    </row>
    <row r="20" spans="2:10" s="35" customFormat="1" ht="15.75" customHeight="1">
      <c r="B20" s="427" t="s">
        <v>175</v>
      </c>
      <c r="C20" s="436">
        <v>-1200000</v>
      </c>
      <c r="D20" s="468" t="s">
        <v>189</v>
      </c>
      <c r="E20" s="413"/>
      <c r="F20" s="413"/>
      <c r="G20" s="146"/>
      <c r="H20" s="146"/>
      <c r="I20" s="146"/>
      <c r="J20" s="37"/>
    </row>
    <row r="21" spans="2:10" ht="20.25" customHeight="1">
      <c r="C21" s="264"/>
      <c r="D21" s="355"/>
      <c r="J21" s="37"/>
    </row>
    <row r="22" spans="2:10" ht="14.4" thickBot="1">
      <c r="B22" s="368" t="s">
        <v>56</v>
      </c>
      <c r="C22" s="369"/>
      <c r="D22" s="355"/>
      <c r="J22" s="37"/>
    </row>
    <row r="23" spans="2:10" ht="14.4" thickTop="1">
      <c r="B23" s="426" t="s">
        <v>104</v>
      </c>
      <c r="C23" s="249">
        <v>0.4</v>
      </c>
      <c r="D23" s="355"/>
      <c r="J23" s="37"/>
    </row>
    <row r="24" spans="2:10">
      <c r="B24" s="426" t="s">
        <v>105</v>
      </c>
      <c r="C24" s="249">
        <v>0.4</v>
      </c>
      <c r="D24" s="355"/>
      <c r="J24" s="37"/>
    </row>
    <row r="25" spans="2:10">
      <c r="B25" s="426" t="s">
        <v>103</v>
      </c>
      <c r="C25" s="249">
        <v>0.2</v>
      </c>
      <c r="D25" s="355"/>
      <c r="J25" s="37"/>
    </row>
    <row r="26" spans="2:10">
      <c r="B26" s="429" t="s">
        <v>47</v>
      </c>
      <c r="C26" s="251">
        <v>1</v>
      </c>
      <c r="D26" s="355"/>
      <c r="J26" s="37"/>
    </row>
    <row r="27" spans="2:10" ht="21" customHeight="1">
      <c r="C27" s="264"/>
      <c r="D27" s="355"/>
      <c r="J27" s="37"/>
    </row>
    <row r="28" spans="2:10" ht="14.4" thickBot="1">
      <c r="B28" s="371" t="s">
        <v>3</v>
      </c>
      <c r="C28" s="369"/>
      <c r="D28" s="355"/>
      <c r="J28" s="37"/>
    </row>
    <row r="29" spans="2:10" ht="15" thickTop="1">
      <c r="B29" s="426" t="s">
        <v>1</v>
      </c>
      <c r="C29" s="370">
        <v>0.19400000000000001</v>
      </c>
      <c r="D29" s="360"/>
      <c r="J29" s="37"/>
    </row>
    <row r="30" spans="2:10" ht="14.4">
      <c r="B30" s="429" t="s">
        <v>4</v>
      </c>
      <c r="C30" s="354">
        <v>0.71899999999999997</v>
      </c>
      <c r="D30" s="360"/>
      <c r="J30" s="37"/>
    </row>
    <row r="31" spans="2:10" ht="19.5" customHeight="1">
      <c r="C31" s="264"/>
      <c r="D31" s="355"/>
      <c r="J31" s="37"/>
    </row>
    <row r="32" spans="2:10" ht="14.4" thickBot="1">
      <c r="B32" s="368" t="s">
        <v>6</v>
      </c>
      <c r="C32" s="369"/>
      <c r="D32" s="355"/>
      <c r="J32" s="37"/>
    </row>
    <row r="33" spans="2:9" ht="15" customHeight="1" thickTop="1">
      <c r="B33" s="430" t="s">
        <v>101</v>
      </c>
      <c r="C33" s="252">
        <v>0.15</v>
      </c>
      <c r="D33" s="393"/>
    </row>
    <row r="34" spans="2:9" ht="14.4">
      <c r="B34" s="431" t="s">
        <v>102</v>
      </c>
      <c r="C34" s="253">
        <v>0.2</v>
      </c>
      <c r="D34" s="393"/>
      <c r="F34" s="35"/>
    </row>
    <row r="35" spans="2:9" ht="20.25" customHeight="1">
      <c r="B35" s="7"/>
      <c r="C35" s="265"/>
      <c r="D35" s="355"/>
      <c r="G35" s="283"/>
    </row>
    <row r="36" spans="2:9" ht="14.4" thickBot="1">
      <c r="B36" s="371" t="s">
        <v>66</v>
      </c>
      <c r="C36" s="372"/>
      <c r="D36" s="355"/>
      <c r="F36" s="284"/>
    </row>
    <row r="37" spans="2:9" ht="15" thickTop="1">
      <c r="B37" s="426" t="s">
        <v>97</v>
      </c>
      <c r="C37" s="358"/>
      <c r="D37" s="362"/>
      <c r="F37" s="284"/>
      <c r="G37" s="285"/>
    </row>
    <row r="38" spans="2:9" ht="14.4">
      <c r="B38" s="426" t="s">
        <v>98</v>
      </c>
      <c r="C38" s="453">
        <v>0</v>
      </c>
      <c r="D38" s="393"/>
      <c r="E38" s="644"/>
      <c r="F38" s="644"/>
      <c r="G38" s="644"/>
      <c r="H38" s="644"/>
      <c r="I38" s="644"/>
    </row>
    <row r="39" spans="2:9">
      <c r="B39" s="432" t="s">
        <v>149</v>
      </c>
      <c r="C39" s="433"/>
      <c r="D39" s="146"/>
      <c r="E39" s="644"/>
      <c r="F39" s="644"/>
      <c r="G39" s="644"/>
      <c r="H39" s="644"/>
      <c r="I39" s="644"/>
    </row>
    <row r="40" spans="2:9" s="35" customFormat="1" ht="14.4">
      <c r="B40" s="434" t="s">
        <v>150</v>
      </c>
      <c r="C40" s="356">
        <v>-1655000</v>
      </c>
      <c r="D40" s="454"/>
      <c r="E40" s="425"/>
      <c r="F40" s="425"/>
      <c r="G40" s="425"/>
      <c r="H40" s="425"/>
      <c r="I40" s="425"/>
    </row>
    <row r="41" spans="2:9" s="35" customFormat="1">
      <c r="B41" s="426" t="s">
        <v>1</v>
      </c>
      <c r="C41" s="356">
        <v>0</v>
      </c>
      <c r="D41" s="146"/>
      <c r="E41" s="425"/>
      <c r="F41" s="425"/>
      <c r="G41" s="425"/>
      <c r="H41" s="425"/>
      <c r="I41" s="425"/>
    </row>
    <row r="42" spans="2:9" s="35" customFormat="1">
      <c r="B42" s="427" t="s">
        <v>4</v>
      </c>
      <c r="C42" s="436">
        <v>0</v>
      </c>
      <c r="D42" s="146"/>
      <c r="E42" s="425"/>
      <c r="F42" s="425"/>
      <c r="G42" s="425"/>
      <c r="H42" s="425"/>
      <c r="I42" s="425"/>
    </row>
    <row r="43" spans="2:9" s="35" customFormat="1">
      <c r="B43" s="583"/>
      <c r="C43" s="584"/>
      <c r="D43" s="146"/>
      <c r="E43" s="570"/>
      <c r="F43" s="570"/>
      <c r="G43" s="570"/>
      <c r="H43" s="570"/>
      <c r="I43" s="570"/>
    </row>
    <row r="44" spans="2:9" s="35" customFormat="1" ht="27.75" customHeight="1">
      <c r="B44" s="583" t="s">
        <v>219</v>
      </c>
      <c r="C44" s="585">
        <v>0.5</v>
      </c>
      <c r="D44" s="146"/>
      <c r="E44" s="570"/>
      <c r="F44" s="570"/>
      <c r="G44" s="570"/>
      <c r="H44" s="570"/>
      <c r="I44" s="570"/>
    </row>
    <row r="45" spans="2:9" ht="14.4" thickBot="1">
      <c r="F45" s="284"/>
    </row>
    <row r="46" spans="2:9">
      <c r="C46" s="641" t="s">
        <v>168</v>
      </c>
      <c r="D46" s="642"/>
      <c r="E46" s="3"/>
      <c r="F46" s="284"/>
    </row>
    <row r="47" spans="2:9" ht="28.2" thickBot="1">
      <c r="B47" s="516" t="s">
        <v>151</v>
      </c>
      <c r="C47" s="170" t="s">
        <v>190</v>
      </c>
      <c r="D47" s="170" t="s">
        <v>191</v>
      </c>
      <c r="E47" s="170" t="s">
        <v>192</v>
      </c>
      <c r="F47" s="240" t="s">
        <v>210</v>
      </c>
    </row>
    <row r="48" spans="2:9" ht="14.4" thickTop="1">
      <c r="B48" s="517" t="s">
        <v>7</v>
      </c>
      <c r="C48" s="518">
        <v>169.72788477579965</v>
      </c>
      <c r="D48" s="518">
        <v>75.332065206007883</v>
      </c>
      <c r="E48" s="519"/>
      <c r="F48" s="520">
        <v>0</v>
      </c>
    </row>
    <row r="49" spans="2:6">
      <c r="B49" s="521" t="s">
        <v>8</v>
      </c>
      <c r="C49" s="514">
        <v>166.39290013808409</v>
      </c>
      <c r="D49" s="514">
        <v>73.153008582348562</v>
      </c>
      <c r="E49" s="515"/>
      <c r="F49" s="522">
        <v>0</v>
      </c>
    </row>
    <row r="50" spans="2:6">
      <c r="B50" s="521" t="s">
        <v>5</v>
      </c>
      <c r="C50" s="514">
        <v>164.35730748701044</v>
      </c>
      <c r="D50" s="514">
        <v>73.567588697758424</v>
      </c>
      <c r="E50" s="515"/>
      <c r="F50" s="522">
        <v>0</v>
      </c>
    </row>
    <row r="51" spans="2:6">
      <c r="B51" s="521" t="s">
        <v>9</v>
      </c>
      <c r="C51" s="514">
        <v>166.79364171278405</v>
      </c>
      <c r="D51" s="514">
        <v>71.148817027272301</v>
      </c>
      <c r="E51" s="515"/>
      <c r="F51" s="522">
        <v>0</v>
      </c>
    </row>
    <row r="52" spans="2:6">
      <c r="B52" s="521" t="s">
        <v>11</v>
      </c>
      <c r="C52" s="514">
        <v>167.56600211042783</v>
      </c>
      <c r="D52" s="514">
        <v>71.029789977591292</v>
      </c>
      <c r="E52" s="515"/>
      <c r="F52" s="522">
        <v>0</v>
      </c>
    </row>
    <row r="53" spans="2:6">
      <c r="B53" s="521" t="s">
        <v>10</v>
      </c>
      <c r="C53" s="514">
        <v>172.77872783111425</v>
      </c>
      <c r="D53" s="514">
        <v>65.539103801495926</v>
      </c>
      <c r="E53" s="515"/>
      <c r="F53" s="522">
        <v>0</v>
      </c>
    </row>
    <row r="54" spans="2:6">
      <c r="B54" s="521" t="s">
        <v>12</v>
      </c>
      <c r="C54" s="514">
        <v>242.44432734821206</v>
      </c>
      <c r="D54" s="514">
        <v>88.758193070403635</v>
      </c>
      <c r="E54" s="515"/>
      <c r="F54" s="522">
        <v>0</v>
      </c>
    </row>
    <row r="55" spans="2:6">
      <c r="B55" s="521" t="s">
        <v>125</v>
      </c>
      <c r="C55" s="514">
        <v>242.44432734821206</v>
      </c>
      <c r="D55" s="514">
        <v>88.758193070403635</v>
      </c>
      <c r="E55" s="515"/>
      <c r="F55" s="522">
        <v>0</v>
      </c>
    </row>
    <row r="56" spans="2:6">
      <c r="B56" s="521" t="s">
        <v>112</v>
      </c>
      <c r="C56" s="514">
        <v>242.44432734821206</v>
      </c>
      <c r="D56" s="514">
        <v>88.758193070403635</v>
      </c>
      <c r="E56" s="515"/>
      <c r="F56" s="522">
        <v>0</v>
      </c>
    </row>
    <row r="57" spans="2:6">
      <c r="B57" s="521" t="s">
        <v>13</v>
      </c>
      <c r="C57" s="514">
        <v>222.89</v>
      </c>
      <c r="D57" s="514">
        <v>73.59</v>
      </c>
      <c r="E57" s="515"/>
      <c r="F57" s="522">
        <v>0</v>
      </c>
    </row>
    <row r="58" spans="2:6">
      <c r="B58" s="521" t="s">
        <v>14</v>
      </c>
      <c r="C58" s="514">
        <v>253.66340713032608</v>
      </c>
      <c r="D58" s="514">
        <v>71.375170862239642</v>
      </c>
      <c r="E58" s="515"/>
      <c r="F58" s="522">
        <v>-23170.509500000069</v>
      </c>
    </row>
    <row r="59" spans="2:6">
      <c r="B59" s="521" t="s">
        <v>15</v>
      </c>
      <c r="C59" s="514">
        <v>264.55625404850372</v>
      </c>
      <c r="D59" s="514">
        <v>37.843922147128509</v>
      </c>
      <c r="E59" s="515"/>
      <c r="F59" s="522">
        <v>-298826.48424000049</v>
      </c>
    </row>
    <row r="60" spans="2:6">
      <c r="B60" s="521" t="s">
        <v>16</v>
      </c>
      <c r="C60" s="514">
        <v>249.79123840473002</v>
      </c>
      <c r="D60" s="514">
        <v>63.679871675323923</v>
      </c>
      <c r="E60" s="515"/>
      <c r="F60" s="522">
        <v>0</v>
      </c>
    </row>
    <row r="61" spans="2:6">
      <c r="B61" s="521" t="s">
        <v>24</v>
      </c>
      <c r="C61" s="514">
        <v>504.66950684735929</v>
      </c>
      <c r="D61" s="514">
        <v>298.66732096778912</v>
      </c>
      <c r="E61" s="515"/>
      <c r="F61" s="522">
        <v>0</v>
      </c>
    </row>
    <row r="62" spans="2:6">
      <c r="B62" s="521" t="s">
        <v>25</v>
      </c>
      <c r="C62" s="514">
        <v>438.19871526060439</v>
      </c>
      <c r="D62" s="514">
        <v>358.77255105008879</v>
      </c>
      <c r="E62" s="515"/>
      <c r="F62" s="522">
        <v>0</v>
      </c>
    </row>
    <row r="63" spans="2:6">
      <c r="B63" s="521" t="s">
        <v>23</v>
      </c>
      <c r="C63" s="514">
        <v>474.20041448241329</v>
      </c>
      <c r="D63" s="514">
        <v>-55.041457183679881</v>
      </c>
      <c r="E63" s="515"/>
      <c r="F63" s="522">
        <v>0</v>
      </c>
    </row>
    <row r="64" spans="2:6">
      <c r="B64" s="521" t="s">
        <v>26</v>
      </c>
      <c r="C64" s="514">
        <v>629.02736574643279</v>
      </c>
      <c r="D64" s="514">
        <v>-6.6195306319440776</v>
      </c>
      <c r="E64" s="515"/>
      <c r="F64" s="522">
        <v>0</v>
      </c>
    </row>
    <row r="65" spans="2:6">
      <c r="B65" s="521" t="s">
        <v>202</v>
      </c>
      <c r="C65" s="514">
        <v>629.02736574643279</v>
      </c>
      <c r="D65" s="514">
        <v>-6.6195306319440776</v>
      </c>
      <c r="E65" s="515"/>
      <c r="F65" s="522">
        <v>0</v>
      </c>
    </row>
    <row r="66" spans="2:6">
      <c r="B66" s="521" t="s">
        <v>157</v>
      </c>
      <c r="C66" s="514">
        <v>1970.4541126228219</v>
      </c>
      <c r="D66" s="514">
        <v>-23.30865656861976</v>
      </c>
      <c r="E66" s="515"/>
      <c r="F66" s="522">
        <v>0</v>
      </c>
    </row>
    <row r="67" spans="2:6">
      <c r="B67" s="521" t="s">
        <v>158</v>
      </c>
      <c r="C67" s="514">
        <v>1970.4541126228219</v>
      </c>
      <c r="D67" s="514">
        <v>-23.30865656861976</v>
      </c>
      <c r="E67" s="515"/>
      <c r="F67" s="522">
        <v>0</v>
      </c>
    </row>
    <row r="68" spans="2:6">
      <c r="B68" s="521" t="s">
        <v>27</v>
      </c>
      <c r="C68" s="514">
        <v>389.53318714584924</v>
      </c>
      <c r="D68" s="514">
        <v>7.5935223568260266</v>
      </c>
      <c r="E68" s="515"/>
      <c r="F68" s="522">
        <v>0</v>
      </c>
    </row>
    <row r="69" spans="2:6">
      <c r="B69" s="521" t="s">
        <v>126</v>
      </c>
      <c r="C69" s="514">
        <v>373.08</v>
      </c>
      <c r="D69" s="514">
        <v>46.71</v>
      </c>
      <c r="E69" s="515"/>
      <c r="F69" s="522">
        <v>0</v>
      </c>
    </row>
    <row r="70" spans="2:6">
      <c r="B70" s="521" t="s">
        <v>203</v>
      </c>
      <c r="C70" s="514">
        <v>512.82240445693878</v>
      </c>
      <c r="D70" s="514">
        <v>282.31562432014283</v>
      </c>
      <c r="E70" s="515"/>
      <c r="F70" s="522">
        <v>0</v>
      </c>
    </row>
    <row r="71" spans="2:6">
      <c r="B71" s="521" t="s">
        <v>28</v>
      </c>
      <c r="C71" s="514">
        <v>380.47</v>
      </c>
      <c r="D71" s="514">
        <v>111.9</v>
      </c>
      <c r="E71" s="515"/>
      <c r="F71" s="522">
        <v>0</v>
      </c>
    </row>
    <row r="72" spans="2:6">
      <c r="B72" s="521" t="s">
        <v>201</v>
      </c>
      <c r="C72" s="514">
        <v>415.62857125357999</v>
      </c>
      <c r="D72" s="514">
        <v>622.6824268872673</v>
      </c>
      <c r="E72" s="515"/>
      <c r="F72" s="522">
        <v>0</v>
      </c>
    </row>
    <row r="73" spans="2:6">
      <c r="B73" s="521" t="s">
        <v>21</v>
      </c>
      <c r="C73" s="514">
        <v>388.20984489728426</v>
      </c>
      <c r="D73" s="514">
        <v>450.54057421259438</v>
      </c>
      <c r="E73" s="515"/>
      <c r="F73" s="522">
        <v>0</v>
      </c>
    </row>
    <row r="74" spans="2:6">
      <c r="B74" s="521" t="s">
        <v>200</v>
      </c>
      <c r="C74" s="514">
        <v>371.94419990136953</v>
      </c>
      <c r="D74" s="514">
        <v>571.29893568913508</v>
      </c>
      <c r="E74" s="515"/>
      <c r="F74" s="522">
        <v>-8773.5153999999675</v>
      </c>
    </row>
    <row r="75" spans="2:6">
      <c r="B75" s="521" t="s">
        <v>20</v>
      </c>
      <c r="C75" s="514">
        <v>277.10493091321689</v>
      </c>
      <c r="D75" s="514">
        <v>219.29840536479117</v>
      </c>
      <c r="E75" s="515"/>
      <c r="F75" s="522">
        <v>-140620.3989599995</v>
      </c>
    </row>
    <row r="76" spans="2:6">
      <c r="B76" s="521" t="s">
        <v>18</v>
      </c>
      <c r="C76" s="514">
        <v>136.90188685491088</v>
      </c>
      <c r="D76" s="514">
        <v>-42.518992159558358</v>
      </c>
      <c r="E76" s="515"/>
      <c r="F76" s="522">
        <v>-436391.01541000063</v>
      </c>
    </row>
    <row r="77" spans="2:6">
      <c r="B77" s="523" t="s">
        <v>19</v>
      </c>
      <c r="C77" s="524">
        <v>136.25083495406378</v>
      </c>
      <c r="D77" s="524">
        <v>-44.207563273629816</v>
      </c>
      <c r="E77" s="525"/>
      <c r="F77" s="526">
        <v>-673603.40519999887</v>
      </c>
    </row>
    <row r="78" spans="2:6">
      <c r="B78" s="105"/>
      <c r="C78" s="37"/>
      <c r="D78" s="37"/>
    </row>
    <row r="79" spans="2:6">
      <c r="B79" s="105"/>
    </row>
  </sheetData>
  <sheetProtection password="82A0" sheet="1" objects="1" scenarios="1"/>
  <mergeCells count="6">
    <mergeCell ref="D14:F14"/>
    <mergeCell ref="C46:D46"/>
    <mergeCell ref="D8:F8"/>
    <mergeCell ref="D17:F17"/>
    <mergeCell ref="D18:F18"/>
    <mergeCell ref="E38:I39"/>
  </mergeCells>
  <pageMargins left="0.7" right="0.7" top="0.75" bottom="0.75" header="0.3" footer="0.3"/>
  <pageSetup scale="50" fitToHeight="0" orientation="landscape"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K46"/>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B3" sqref="B3"/>
    </sheetView>
  </sheetViews>
  <sheetFormatPr baseColWidth="10" defaultColWidth="9.109375" defaultRowHeight="13.8"/>
  <cols>
    <col min="1" max="1" width="2.33203125" style="35" customWidth="1"/>
    <col min="2" max="2" width="16.44140625" style="3" customWidth="1"/>
    <col min="3" max="3" width="52.109375" style="3" bestFit="1" customWidth="1"/>
    <col min="4" max="4" width="15.88671875" style="3" customWidth="1"/>
    <col min="5" max="5" width="20.109375" style="3" bestFit="1" customWidth="1"/>
    <col min="6" max="6" width="18.88671875" style="3" customWidth="1"/>
    <col min="7" max="16384" width="9.109375" style="3"/>
  </cols>
  <sheetData>
    <row r="1" spans="1:11" s="35" customFormat="1"/>
    <row r="2" spans="1:11" s="5" customFormat="1" ht="14.4" thickBot="1">
      <c r="A2" s="36"/>
      <c r="B2" s="4" t="s">
        <v>233</v>
      </c>
    </row>
    <row r="3" spans="1:11" s="7" customFormat="1">
      <c r="A3" s="37"/>
      <c r="B3" s="289"/>
      <c r="C3" s="289"/>
      <c r="D3" s="289"/>
    </row>
    <row r="4" spans="1:11" ht="40.5" customHeight="1">
      <c r="B4" s="646" t="s">
        <v>169</v>
      </c>
      <c r="C4" s="647"/>
      <c r="D4" s="647"/>
      <c r="E4" s="647"/>
    </row>
    <row r="5" spans="1:11" ht="41.4">
      <c r="B5" s="269" t="s">
        <v>111</v>
      </c>
      <c r="C5" s="270" t="s">
        <v>36</v>
      </c>
      <c r="D5" s="271" t="s">
        <v>138</v>
      </c>
      <c r="E5" s="271" t="s">
        <v>139</v>
      </c>
    </row>
    <row r="6" spans="1:11" ht="14.4">
      <c r="B6" s="12" t="s">
        <v>1</v>
      </c>
      <c r="C6" s="37" t="s">
        <v>7</v>
      </c>
      <c r="D6" s="373">
        <v>129</v>
      </c>
      <c r="E6" s="363">
        <v>97857078</v>
      </c>
      <c r="F6" s="457"/>
      <c r="I6"/>
      <c r="J6"/>
      <c r="K6"/>
    </row>
    <row r="7" spans="1:11" s="35" customFormat="1" ht="14.4">
      <c r="B7" s="41" t="s">
        <v>1</v>
      </c>
      <c r="C7" s="37" t="s">
        <v>8</v>
      </c>
      <c r="D7" s="374">
        <v>174</v>
      </c>
      <c r="E7" s="364">
        <v>16849690</v>
      </c>
      <c r="F7" s="457"/>
      <c r="I7"/>
      <c r="J7"/>
      <c r="K7"/>
    </row>
    <row r="8" spans="1:11" ht="14.4">
      <c r="B8" s="41" t="s">
        <v>1</v>
      </c>
      <c r="C8" s="37" t="s">
        <v>5</v>
      </c>
      <c r="D8" s="374">
        <v>47</v>
      </c>
      <c r="E8" s="364">
        <v>10816571</v>
      </c>
      <c r="F8" s="457"/>
      <c r="I8"/>
      <c r="J8"/>
      <c r="K8"/>
    </row>
    <row r="9" spans="1:11" ht="14.4">
      <c r="B9" s="41" t="s">
        <v>1</v>
      </c>
      <c r="C9" s="37" t="s">
        <v>9</v>
      </c>
      <c r="D9" s="374">
        <v>2</v>
      </c>
      <c r="E9" s="364">
        <v>1956911</v>
      </c>
      <c r="F9" s="457"/>
      <c r="I9"/>
      <c r="J9"/>
      <c r="K9"/>
    </row>
    <row r="10" spans="1:11" ht="14.4">
      <c r="B10" s="41" t="s">
        <v>1</v>
      </c>
      <c r="C10" s="37" t="s">
        <v>11</v>
      </c>
      <c r="D10" s="374">
        <v>107</v>
      </c>
      <c r="E10" s="364">
        <v>4514693</v>
      </c>
      <c r="F10" s="457"/>
      <c r="I10"/>
      <c r="J10"/>
      <c r="K10"/>
    </row>
    <row r="11" spans="1:11" ht="14.4">
      <c r="B11" s="41" t="s">
        <v>1</v>
      </c>
      <c r="C11" s="37" t="s">
        <v>10</v>
      </c>
      <c r="D11" s="374">
        <v>543</v>
      </c>
      <c r="E11" s="364">
        <v>26023887</v>
      </c>
      <c r="F11" s="457"/>
      <c r="I11"/>
      <c r="J11"/>
      <c r="K11"/>
    </row>
    <row r="12" spans="1:11" ht="14.4">
      <c r="B12" s="41" t="s">
        <v>37</v>
      </c>
      <c r="C12" s="37" t="s">
        <v>12</v>
      </c>
      <c r="D12" s="374">
        <v>443</v>
      </c>
      <c r="E12" s="364">
        <v>56835883</v>
      </c>
      <c r="F12" s="457"/>
      <c r="I12"/>
      <c r="J12"/>
      <c r="K12"/>
    </row>
    <row r="13" spans="1:11" ht="14.4">
      <c r="B13" s="41" t="s">
        <v>37</v>
      </c>
      <c r="C13" s="37" t="s">
        <v>125</v>
      </c>
      <c r="D13" s="374">
        <v>59</v>
      </c>
      <c r="E13" s="364">
        <v>2779533</v>
      </c>
      <c r="F13" s="457"/>
      <c r="I13"/>
      <c r="J13"/>
      <c r="K13"/>
    </row>
    <row r="14" spans="1:11" ht="14.4">
      <c r="B14" s="41" t="s">
        <v>37</v>
      </c>
      <c r="C14" s="37" t="s">
        <v>112</v>
      </c>
      <c r="D14" s="374">
        <v>27</v>
      </c>
      <c r="E14" s="364">
        <v>311677</v>
      </c>
      <c r="F14" s="457"/>
      <c r="I14"/>
      <c r="J14"/>
      <c r="K14"/>
    </row>
    <row r="15" spans="1:11" ht="14.4">
      <c r="B15" s="41" t="s">
        <v>37</v>
      </c>
      <c r="C15" s="37" t="s">
        <v>13</v>
      </c>
      <c r="D15" s="374">
        <v>646</v>
      </c>
      <c r="E15" s="364">
        <v>87303759</v>
      </c>
      <c r="F15" s="457"/>
      <c r="I15"/>
      <c r="J15"/>
      <c r="K15"/>
    </row>
    <row r="16" spans="1:11" ht="14.4">
      <c r="B16" s="41" t="s">
        <v>37</v>
      </c>
      <c r="C16" s="37" t="s">
        <v>14</v>
      </c>
      <c r="D16" s="374">
        <v>44</v>
      </c>
      <c r="E16" s="364">
        <v>12195005</v>
      </c>
      <c r="F16" s="457"/>
      <c r="I16"/>
      <c r="J16"/>
      <c r="K16"/>
    </row>
    <row r="17" spans="2:11" ht="14.4">
      <c r="B17" s="41" t="s">
        <v>37</v>
      </c>
      <c r="C17" s="37" t="s">
        <v>15</v>
      </c>
      <c r="D17" s="374">
        <v>299</v>
      </c>
      <c r="E17" s="364">
        <v>12539928</v>
      </c>
      <c r="F17" s="457"/>
      <c r="I17"/>
      <c r="J17"/>
      <c r="K17"/>
    </row>
    <row r="18" spans="2:11" s="35" customFormat="1" ht="14.4">
      <c r="B18" s="41" t="s">
        <v>37</v>
      </c>
      <c r="C18" s="37" t="s">
        <v>16</v>
      </c>
      <c r="D18" s="374">
        <v>43</v>
      </c>
      <c r="E18" s="364">
        <v>6206049</v>
      </c>
      <c r="F18" s="457"/>
      <c r="I18"/>
      <c r="J18"/>
      <c r="K18"/>
    </row>
    <row r="19" spans="2:11" s="35" customFormat="1" ht="14.4">
      <c r="B19" s="41" t="s">
        <v>22</v>
      </c>
      <c r="C19" s="37" t="s">
        <v>24</v>
      </c>
      <c r="D19" s="374">
        <v>190</v>
      </c>
      <c r="E19" s="364">
        <v>23327881</v>
      </c>
      <c r="F19" s="457"/>
      <c r="I19"/>
      <c r="J19"/>
      <c r="K19"/>
    </row>
    <row r="20" spans="2:11" s="35" customFormat="1" ht="14.4">
      <c r="B20" s="41" t="s">
        <v>22</v>
      </c>
      <c r="C20" s="37" t="s">
        <v>25</v>
      </c>
      <c r="D20" s="374">
        <v>265</v>
      </c>
      <c r="E20" s="364">
        <v>16585286</v>
      </c>
      <c r="F20" s="457"/>
      <c r="I20"/>
      <c r="J20"/>
      <c r="K20"/>
    </row>
    <row r="21" spans="2:11" s="35" customFormat="1" ht="14.4">
      <c r="B21" s="41" t="s">
        <v>22</v>
      </c>
      <c r="C21" s="37" t="s">
        <v>23</v>
      </c>
      <c r="D21" s="374">
        <v>355</v>
      </c>
      <c r="E21" s="364">
        <v>12008449</v>
      </c>
      <c r="F21" s="457"/>
      <c r="I21" s="447"/>
      <c r="J21"/>
      <c r="K21"/>
    </row>
    <row r="22" spans="2:11" s="35" customFormat="1" ht="14.4">
      <c r="B22" s="41" t="s">
        <v>22</v>
      </c>
      <c r="C22" s="37" t="s">
        <v>26</v>
      </c>
      <c r="D22" s="374">
        <v>470</v>
      </c>
      <c r="E22" s="364">
        <v>21835476</v>
      </c>
      <c r="F22" s="457"/>
      <c r="I22" s="447"/>
      <c r="J22"/>
      <c r="K22"/>
    </row>
    <row r="23" spans="2:11" s="35" customFormat="1" ht="14.4">
      <c r="B23" s="41" t="s">
        <v>22</v>
      </c>
      <c r="C23" s="37" t="s">
        <v>202</v>
      </c>
      <c r="D23" s="374">
        <v>181</v>
      </c>
      <c r="E23" s="364">
        <v>9133494</v>
      </c>
      <c r="F23" s="457"/>
      <c r="I23" s="447"/>
      <c r="J23"/>
      <c r="K23"/>
    </row>
    <row r="24" spans="2:11" s="35" customFormat="1" ht="14.4">
      <c r="B24" s="41" t="s">
        <v>22</v>
      </c>
      <c r="C24" s="37" t="s">
        <v>157</v>
      </c>
      <c r="D24" s="374">
        <v>65</v>
      </c>
      <c r="E24" s="364">
        <v>4325627</v>
      </c>
      <c r="F24" s="457"/>
      <c r="I24"/>
      <c r="J24"/>
      <c r="K24"/>
    </row>
    <row r="25" spans="2:11" s="35" customFormat="1" ht="14.4">
      <c r="B25" s="41" t="s">
        <v>22</v>
      </c>
      <c r="C25" s="37" t="s">
        <v>158</v>
      </c>
      <c r="D25" s="374">
        <v>117</v>
      </c>
      <c r="E25" s="364">
        <v>1850197</v>
      </c>
      <c r="F25" s="457"/>
      <c r="I25"/>
      <c r="J25"/>
      <c r="K25"/>
    </row>
    <row r="26" spans="2:11" s="35" customFormat="1" ht="14.4">
      <c r="B26" s="41" t="s">
        <v>22</v>
      </c>
      <c r="C26" s="37" t="s">
        <v>27</v>
      </c>
      <c r="D26" s="374">
        <v>150</v>
      </c>
      <c r="E26" s="364">
        <v>4738963</v>
      </c>
      <c r="F26" s="457"/>
      <c r="I26"/>
      <c r="J26"/>
      <c r="K26"/>
    </row>
    <row r="27" spans="2:11" s="35" customFormat="1" ht="14.4">
      <c r="B27" s="41" t="s">
        <v>22</v>
      </c>
      <c r="C27" s="37" t="s">
        <v>126</v>
      </c>
      <c r="D27" s="374">
        <v>110</v>
      </c>
      <c r="E27" s="364">
        <v>7338176</v>
      </c>
      <c r="F27" s="457"/>
      <c r="I27"/>
      <c r="J27"/>
      <c r="K27"/>
    </row>
    <row r="28" spans="2:11" ht="14.4">
      <c r="B28" s="41" t="s">
        <v>22</v>
      </c>
      <c r="C28" s="37" t="s">
        <v>203</v>
      </c>
      <c r="D28" s="374">
        <v>39</v>
      </c>
      <c r="E28" s="364">
        <v>82571</v>
      </c>
      <c r="F28" s="457"/>
      <c r="I28"/>
      <c r="J28"/>
      <c r="K28"/>
    </row>
    <row r="29" spans="2:11" ht="14.4">
      <c r="B29" s="41" t="s">
        <v>22</v>
      </c>
      <c r="C29" s="37" t="s">
        <v>28</v>
      </c>
      <c r="D29" s="374">
        <v>534</v>
      </c>
      <c r="E29" s="364">
        <v>33170372</v>
      </c>
      <c r="F29" s="457"/>
      <c r="I29"/>
      <c r="J29"/>
      <c r="K29"/>
    </row>
    <row r="30" spans="2:11" ht="14.4">
      <c r="B30" s="41" t="s">
        <v>39</v>
      </c>
      <c r="C30" s="37" t="s">
        <v>201</v>
      </c>
      <c r="D30" s="374">
        <v>89</v>
      </c>
      <c r="E30" s="364">
        <v>2927570</v>
      </c>
      <c r="F30" s="457"/>
      <c r="I30"/>
      <c r="J30"/>
      <c r="K30"/>
    </row>
    <row r="31" spans="2:11" ht="14.4">
      <c r="B31" s="41" t="s">
        <v>39</v>
      </c>
      <c r="C31" s="37" t="s">
        <v>21</v>
      </c>
      <c r="D31" s="374">
        <v>228</v>
      </c>
      <c r="E31" s="364">
        <v>2080311</v>
      </c>
      <c r="F31" s="457"/>
      <c r="I31"/>
      <c r="J31"/>
      <c r="K31"/>
    </row>
    <row r="32" spans="2:11" s="35" customFormat="1" ht="14.4">
      <c r="B32" s="41" t="s">
        <v>38</v>
      </c>
      <c r="C32" s="37" t="s">
        <v>200</v>
      </c>
      <c r="D32" s="374">
        <v>104</v>
      </c>
      <c r="E32" s="364">
        <v>1674335</v>
      </c>
      <c r="F32" s="457"/>
      <c r="I32"/>
      <c r="J32"/>
      <c r="K32"/>
    </row>
    <row r="33" spans="2:11" s="35" customFormat="1" ht="14.4">
      <c r="B33" s="41" t="s">
        <v>38</v>
      </c>
      <c r="C33" s="37" t="s">
        <v>20</v>
      </c>
      <c r="D33" s="374">
        <v>210</v>
      </c>
      <c r="E33" s="364">
        <v>26835954</v>
      </c>
      <c r="F33" s="457"/>
      <c r="I33"/>
      <c r="J33"/>
      <c r="K33"/>
    </row>
    <row r="34" spans="2:11" ht="14.4">
      <c r="B34" s="41" t="s">
        <v>17</v>
      </c>
      <c r="C34" s="37" t="s">
        <v>18</v>
      </c>
      <c r="D34" s="374">
        <v>199</v>
      </c>
      <c r="E34" s="364">
        <v>52387877</v>
      </c>
      <c r="F34" s="457"/>
      <c r="I34"/>
      <c r="J34"/>
      <c r="K34"/>
    </row>
    <row r="35" spans="2:11" ht="14.4">
      <c r="B35" s="41" t="s">
        <v>17</v>
      </c>
      <c r="C35" s="37" t="s">
        <v>19</v>
      </c>
      <c r="D35" s="375">
        <v>122</v>
      </c>
      <c r="E35" s="365">
        <v>80574570</v>
      </c>
      <c r="F35" s="457"/>
      <c r="I35"/>
      <c r="J35"/>
      <c r="K35"/>
    </row>
    <row r="36" spans="2:11" ht="15" thickBot="1">
      <c r="B36" s="352" t="s">
        <v>41</v>
      </c>
      <c r="C36" s="13" t="s">
        <v>40</v>
      </c>
      <c r="D36" s="260">
        <f>SUM(D6:D35)</f>
        <v>5991</v>
      </c>
      <c r="E36" s="259">
        <f>SUM(E6:E35)</f>
        <v>637067773</v>
      </c>
      <c r="F36" s="457"/>
      <c r="I36"/>
    </row>
    <row r="37" spans="2:11" ht="15" thickTop="1">
      <c r="I37"/>
    </row>
    <row r="38" spans="2:11" ht="48" customHeight="1">
      <c r="B38" s="645" t="s">
        <v>140</v>
      </c>
      <c r="C38" s="645"/>
      <c r="D38" s="645"/>
      <c r="E38" s="645"/>
      <c r="I38"/>
    </row>
    <row r="39" spans="2:11" ht="14.4">
      <c r="I39"/>
    </row>
    <row r="40" spans="2:11" ht="14.4">
      <c r="I40"/>
    </row>
    <row r="41" spans="2:11" ht="14.4">
      <c r="E41" s="448"/>
      <c r="I41"/>
    </row>
    <row r="42" spans="2:11" ht="14.4">
      <c r="E42" s="448"/>
      <c r="I42"/>
    </row>
    <row r="43" spans="2:11" ht="14.4">
      <c r="D43" s="35"/>
      <c r="E43" s="449"/>
      <c r="I43"/>
    </row>
    <row r="44" spans="2:11" ht="14.4">
      <c r="D44" s="35"/>
      <c r="E44" s="449"/>
      <c r="I44"/>
    </row>
    <row r="45" spans="2:11" ht="14.4">
      <c r="D45" s="35"/>
      <c r="I45"/>
    </row>
    <row r="46" spans="2:11" ht="14.4">
      <c r="I46"/>
    </row>
  </sheetData>
  <sheetProtection password="82A0" sheet="1" objects="1" scenarios="1"/>
  <mergeCells count="2">
    <mergeCell ref="B38:E38"/>
    <mergeCell ref="B4:E4"/>
  </mergeCells>
  <pageMargins left="0.7" right="0.7" top="0.75" bottom="0.75" header="0.3" footer="0.3"/>
  <pageSetup fitToHeight="0" orientation="landscape"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F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B12" sqref="B12"/>
    </sheetView>
  </sheetViews>
  <sheetFormatPr baseColWidth="10" defaultColWidth="9.109375" defaultRowHeight="14.4"/>
  <cols>
    <col min="1" max="1" width="2.33203125" style="471" customWidth="1"/>
    <col min="2" max="2" width="54" style="471" customWidth="1"/>
    <col min="3" max="3" width="19.109375" style="470" customWidth="1"/>
    <col min="4" max="4" width="21.88671875" style="470" bestFit="1" customWidth="1"/>
    <col min="5" max="6" width="19.109375" style="470" customWidth="1"/>
    <col min="7" max="7" width="53" style="470" customWidth="1"/>
    <col min="8" max="8" width="3.6640625" style="470" customWidth="1"/>
    <col min="9" max="9" width="35.44140625" style="470" bestFit="1" customWidth="1"/>
    <col min="10" max="10" width="53.88671875" style="470" bestFit="1" customWidth="1"/>
    <col min="11" max="13" width="22.109375" style="470" customWidth="1"/>
    <col min="14" max="14" width="26.33203125" style="470" customWidth="1"/>
    <col min="15" max="15" width="17.109375" style="470" customWidth="1"/>
    <col min="16" max="16" width="13.44140625" style="470" customWidth="1"/>
    <col min="17" max="16384" width="9.109375" style="470"/>
  </cols>
  <sheetData>
    <row r="1" spans="2:6" ht="6.75" customHeight="1"/>
    <row r="2" spans="2:6">
      <c r="B2" s="471" t="s">
        <v>195</v>
      </c>
    </row>
    <row r="3" spans="2:6">
      <c r="B3" s="513" t="s">
        <v>193</v>
      </c>
    </row>
    <row r="4" spans="2:6">
      <c r="B4" s="513"/>
    </row>
    <row r="5" spans="2:6">
      <c r="C5" s="648" t="s">
        <v>194</v>
      </c>
      <c r="D5" s="649"/>
      <c r="E5" s="649"/>
      <c r="F5" s="650"/>
    </row>
    <row r="6" spans="2:6">
      <c r="B6" s="472" t="s">
        <v>127</v>
      </c>
      <c r="C6" s="473" t="s">
        <v>170</v>
      </c>
      <c r="D6" s="473" t="s">
        <v>171</v>
      </c>
      <c r="E6" s="473" t="s">
        <v>161</v>
      </c>
      <c r="F6" s="473" t="s">
        <v>172</v>
      </c>
    </row>
    <row r="7" spans="2:6">
      <c r="B7" t="s">
        <v>7</v>
      </c>
      <c r="C7" s="282">
        <v>90861.46380138777</v>
      </c>
      <c r="D7" s="282">
        <v>77627.29357474194</v>
      </c>
      <c r="E7" s="282">
        <f>C7-D7</f>
        <v>13234.170226645831</v>
      </c>
      <c r="F7" s="447">
        <f>D7/C7</f>
        <v>0.85434782059450265</v>
      </c>
    </row>
    <row r="8" spans="2:6">
      <c r="B8" t="s">
        <v>8</v>
      </c>
      <c r="C8" s="282">
        <v>35540.79588043785</v>
      </c>
      <c r="D8" s="282">
        <v>28503.423612783965</v>
      </c>
      <c r="E8" s="282">
        <f t="shared" ref="E8:E37" si="0">C8-D8</f>
        <v>7037.3722676538855</v>
      </c>
      <c r="F8" s="447">
        <f t="shared" ref="F8:F37" si="1">D8/C8</f>
        <v>0.80199170858952673</v>
      </c>
    </row>
    <row r="9" spans="2:6">
      <c r="B9" t="s">
        <v>5</v>
      </c>
      <c r="C9" s="282">
        <v>28786.174106782688</v>
      </c>
      <c r="D9" s="282">
        <v>24245.046336976306</v>
      </c>
      <c r="E9" s="282">
        <f t="shared" si="0"/>
        <v>4541.1277698063823</v>
      </c>
      <c r="F9" s="447">
        <f t="shared" si="1"/>
        <v>0.84224622025278495</v>
      </c>
    </row>
    <row r="10" spans="2:6">
      <c r="B10" t="s">
        <v>9</v>
      </c>
      <c r="C10" s="282">
        <v>5522.7920458002463</v>
      </c>
      <c r="D10" s="282">
        <v>4971.6024015148369</v>
      </c>
      <c r="E10" s="282">
        <f t="shared" si="0"/>
        <v>551.18964428540949</v>
      </c>
      <c r="F10" s="447">
        <f t="shared" si="1"/>
        <v>0.90019728432386725</v>
      </c>
    </row>
    <row r="11" spans="2:6">
      <c r="B11" t="s">
        <v>11</v>
      </c>
      <c r="C11" s="282">
        <v>24731.61970211118</v>
      </c>
      <c r="D11" s="282">
        <v>16380.768258039338</v>
      </c>
      <c r="E11" s="282">
        <f t="shared" si="0"/>
        <v>8350.8514440718427</v>
      </c>
      <c r="F11" s="447">
        <f t="shared" si="1"/>
        <v>0.66234110241639432</v>
      </c>
    </row>
    <row r="12" spans="2:6">
      <c r="B12" t="s">
        <v>10</v>
      </c>
      <c r="C12" s="282">
        <v>46500.085840739666</v>
      </c>
      <c r="D12" s="282">
        <v>26602.761162461007</v>
      </c>
      <c r="E12" s="282">
        <f t="shared" si="0"/>
        <v>19897.324678278659</v>
      </c>
      <c r="F12" s="447">
        <f t="shared" si="1"/>
        <v>0.57210133447009226</v>
      </c>
    </row>
    <row r="13" spans="2:6">
      <c r="B13" t="s">
        <v>12</v>
      </c>
      <c r="C13" s="282">
        <v>104729.80966964345</v>
      </c>
      <c r="D13" s="282">
        <v>74256.36451725784</v>
      </c>
      <c r="E13" s="282">
        <f t="shared" si="0"/>
        <v>30473.445152385611</v>
      </c>
      <c r="F13" s="447">
        <f t="shared" si="1"/>
        <v>0.70902797161085152</v>
      </c>
    </row>
    <row r="14" spans="2:6">
      <c r="B14" t="s">
        <v>125</v>
      </c>
      <c r="C14" s="282">
        <v>6526.8707615769417</v>
      </c>
      <c r="D14" s="282">
        <v>2242.239443297517</v>
      </c>
      <c r="E14" s="282">
        <f t="shared" si="0"/>
        <v>4284.6313182794247</v>
      </c>
      <c r="F14" s="447">
        <f t="shared" si="1"/>
        <v>0.34353973369556573</v>
      </c>
    </row>
    <row r="15" spans="2:6">
      <c r="B15" t="s">
        <v>112</v>
      </c>
      <c r="C15" s="282">
        <v>7418.1920445125033</v>
      </c>
      <c r="D15" s="282">
        <v>2359.5209358808675</v>
      </c>
      <c r="E15" s="282">
        <f t="shared" si="0"/>
        <v>5058.6711086316354</v>
      </c>
      <c r="F15" s="447">
        <f t="shared" si="1"/>
        <v>0.31807223670170254</v>
      </c>
    </row>
    <row r="16" spans="2:6">
      <c r="B16" t="s">
        <v>13</v>
      </c>
      <c r="C16" s="282">
        <v>112057.58435142423</v>
      </c>
      <c r="D16" s="282">
        <v>63198.314623640021</v>
      </c>
      <c r="E16" s="282">
        <f t="shared" si="0"/>
        <v>48859.269727784209</v>
      </c>
      <c r="F16" s="447">
        <f t="shared" si="1"/>
        <v>0.56398069786551475</v>
      </c>
    </row>
    <row r="17" spans="2:6">
      <c r="B17" t="s">
        <v>14</v>
      </c>
      <c r="C17" s="282">
        <v>13006.304337273137</v>
      </c>
      <c r="D17" s="282">
        <v>8929.0275891509373</v>
      </c>
      <c r="E17" s="282">
        <f t="shared" si="0"/>
        <v>4077.2767481221999</v>
      </c>
      <c r="F17" s="447">
        <f t="shared" si="1"/>
        <v>0.68651535114108908</v>
      </c>
    </row>
    <row r="18" spans="2:6">
      <c r="B18" t="s">
        <v>15</v>
      </c>
      <c r="C18" s="282">
        <v>12504.147839377478</v>
      </c>
      <c r="D18" s="282">
        <v>3378.1546301607941</v>
      </c>
      <c r="E18" s="282">
        <f t="shared" si="0"/>
        <v>9125.9932092166837</v>
      </c>
      <c r="F18" s="447">
        <f t="shared" si="1"/>
        <v>0.27016272308637201</v>
      </c>
    </row>
    <row r="19" spans="2:6">
      <c r="B19" t="s">
        <v>16</v>
      </c>
      <c r="C19" s="282">
        <v>7669.6511253238805</v>
      </c>
      <c r="D19" s="282">
        <v>4008.857328163082</v>
      </c>
      <c r="E19" s="282">
        <f t="shared" si="0"/>
        <v>3660.7937971607985</v>
      </c>
      <c r="F19" s="447">
        <f t="shared" si="1"/>
        <v>0.52269096242546398</v>
      </c>
    </row>
    <row r="20" spans="2:6">
      <c r="B20" t="s">
        <v>24</v>
      </c>
      <c r="C20" s="282">
        <v>24778.734182797823</v>
      </c>
      <c r="D20" s="282">
        <v>14565.599919960148</v>
      </c>
      <c r="E20" s="282">
        <f t="shared" si="0"/>
        <v>10213.134262837675</v>
      </c>
      <c r="F20" s="447">
        <f t="shared" si="1"/>
        <v>0.58782663442396688</v>
      </c>
    </row>
    <row r="21" spans="2:6">
      <c r="B21" t="s">
        <v>25</v>
      </c>
      <c r="C21" s="282">
        <v>20996.571439131305</v>
      </c>
      <c r="D21" s="282">
        <v>13045.413221379396</v>
      </c>
      <c r="E21" s="282">
        <f t="shared" si="0"/>
        <v>7951.1582177519085</v>
      </c>
      <c r="F21" s="447">
        <f t="shared" si="1"/>
        <v>0.62131159171381012</v>
      </c>
    </row>
    <row r="22" spans="2:6">
      <c r="B22" t="s">
        <v>23</v>
      </c>
      <c r="C22" s="282">
        <v>24161.504117613244</v>
      </c>
      <c r="D22" s="282">
        <v>3241.7505011689836</v>
      </c>
      <c r="E22" s="282">
        <f t="shared" si="0"/>
        <v>20919.753616444261</v>
      </c>
      <c r="F22" s="447">
        <f t="shared" si="1"/>
        <v>0.13417006182184715</v>
      </c>
    </row>
    <row r="23" spans="2:6">
      <c r="B23" t="s">
        <v>26</v>
      </c>
      <c r="C23" s="282">
        <v>16109.394776770958</v>
      </c>
      <c r="D23" s="282">
        <v>3520.98199297055</v>
      </c>
      <c r="E23" s="282">
        <f t="shared" si="0"/>
        <v>12588.412783800408</v>
      </c>
      <c r="F23" s="447">
        <f t="shared" si="1"/>
        <v>0.21856699409015987</v>
      </c>
    </row>
    <row r="24" spans="2:6">
      <c r="B24" t="s">
        <v>202</v>
      </c>
      <c r="C24" s="282">
        <v>20863.43452761291</v>
      </c>
      <c r="D24" s="282">
        <v>2744.5010198010791</v>
      </c>
      <c r="E24" s="282">
        <f t="shared" si="0"/>
        <v>18118.933507811831</v>
      </c>
      <c r="F24" s="447">
        <f t="shared" si="1"/>
        <v>0.13154598377216903</v>
      </c>
    </row>
    <row r="25" spans="2:6">
      <c r="B25" t="s">
        <v>157</v>
      </c>
      <c r="C25" s="282">
        <v>10728.944296156153</v>
      </c>
      <c r="D25" s="282">
        <v>769.68785079618101</v>
      </c>
      <c r="E25" s="282">
        <f t="shared" si="0"/>
        <v>9959.2564453599716</v>
      </c>
      <c r="F25" s="447">
        <f t="shared" si="1"/>
        <v>7.1739383629005907E-2</v>
      </c>
    </row>
    <row r="26" spans="2:6">
      <c r="B26" t="s">
        <v>158</v>
      </c>
      <c r="C26" s="282">
        <v>4622.8938671554606</v>
      </c>
      <c r="D26" s="282">
        <v>1516.0332473630592</v>
      </c>
      <c r="E26" s="282">
        <f t="shared" si="0"/>
        <v>3106.8606197924014</v>
      </c>
      <c r="F26" s="447">
        <f t="shared" si="1"/>
        <v>0.32794030988556921</v>
      </c>
    </row>
    <row r="27" spans="2:6">
      <c r="B27" t="s">
        <v>27</v>
      </c>
      <c r="C27" s="282">
        <v>6862.6245863450149</v>
      </c>
      <c r="D27" s="282">
        <v>2155.365385904865</v>
      </c>
      <c r="E27" s="282">
        <f t="shared" si="0"/>
        <v>4707.2592004401504</v>
      </c>
      <c r="F27" s="447">
        <f t="shared" si="1"/>
        <v>0.31407304286956444</v>
      </c>
    </row>
    <row r="28" spans="2:6">
      <c r="B28" t="s">
        <v>126</v>
      </c>
      <c r="C28" s="282">
        <v>9583.9642358217861</v>
      </c>
      <c r="D28" s="282">
        <v>4673.006008384491</v>
      </c>
      <c r="E28" s="282">
        <f t="shared" si="0"/>
        <v>4910.9582274372951</v>
      </c>
      <c r="F28" s="447">
        <f t="shared" si="1"/>
        <v>0.48758591887460229</v>
      </c>
    </row>
    <row r="29" spans="2:6">
      <c r="B29" t="s">
        <v>203</v>
      </c>
      <c r="C29" s="282">
        <v>846.25009424148516</v>
      </c>
      <c r="D29" s="282">
        <v>174.13069278487808</v>
      </c>
      <c r="E29" s="282">
        <f t="shared" si="0"/>
        <v>672.11940145660708</v>
      </c>
      <c r="F29" s="447">
        <f t="shared" si="1"/>
        <v>0.2057674131675645</v>
      </c>
    </row>
    <row r="30" spans="2:6">
      <c r="B30" t="s">
        <v>28</v>
      </c>
      <c r="C30" s="282">
        <v>42421.333075981413</v>
      </c>
      <c r="D30" s="282">
        <v>15443.361093442596</v>
      </c>
      <c r="E30" s="282">
        <f t="shared" si="0"/>
        <v>26977.971982538817</v>
      </c>
      <c r="F30" s="447">
        <f t="shared" si="1"/>
        <v>0.36404704835139873</v>
      </c>
    </row>
    <row r="31" spans="2:6">
      <c r="B31" t="s">
        <v>201</v>
      </c>
      <c r="C31" s="282">
        <v>8897.9259366197493</v>
      </c>
      <c r="D31" s="282">
        <v>3924.2927024859664</v>
      </c>
      <c r="E31" s="282">
        <f t="shared" si="0"/>
        <v>4973.6332341337829</v>
      </c>
      <c r="F31" s="447">
        <f t="shared" si="1"/>
        <v>0.44103454337997938</v>
      </c>
    </row>
    <row r="32" spans="2:6">
      <c r="B32" t="s">
        <v>21</v>
      </c>
      <c r="C32" s="282">
        <v>7079.282340262338</v>
      </c>
      <c r="D32" s="282">
        <v>756.5951898084727</v>
      </c>
      <c r="E32" s="282">
        <f t="shared" si="0"/>
        <v>6322.6871504538649</v>
      </c>
      <c r="F32" s="447">
        <f t="shared" si="1"/>
        <v>0.10687456064655777</v>
      </c>
    </row>
    <row r="33" spans="2:6">
      <c r="B33" t="s">
        <v>200</v>
      </c>
      <c r="C33" s="282">
        <v>3579.1027530371884</v>
      </c>
      <c r="D33" s="282">
        <v>662.99108941187762</v>
      </c>
      <c r="E33" s="282">
        <f t="shared" si="0"/>
        <v>2916.1116636253109</v>
      </c>
      <c r="F33" s="447">
        <f t="shared" si="1"/>
        <v>0.18523946786642839</v>
      </c>
    </row>
    <row r="34" spans="2:6">
      <c r="B34" t="s">
        <v>20</v>
      </c>
      <c r="C34" s="282">
        <v>24760.23438624954</v>
      </c>
      <c r="D34" s="282">
        <v>13859.378737118417</v>
      </c>
      <c r="E34" s="282">
        <f t="shared" si="0"/>
        <v>10900.855649131123</v>
      </c>
      <c r="F34" s="447">
        <f t="shared" si="1"/>
        <v>0.55974343864915699</v>
      </c>
    </row>
    <row r="35" spans="2:6">
      <c r="B35" t="s">
        <v>18</v>
      </c>
      <c r="C35" s="282">
        <v>53443.379594561186</v>
      </c>
      <c r="D35" s="282">
        <v>41282.987907301591</v>
      </c>
      <c r="E35" s="282">
        <f t="shared" si="0"/>
        <v>12160.391687259595</v>
      </c>
      <c r="F35" s="447">
        <f t="shared" si="1"/>
        <v>0.77246215004529517</v>
      </c>
    </row>
    <row r="36" spans="2:6">
      <c r="B36" s="469" t="s">
        <v>19</v>
      </c>
      <c r="C36" s="474">
        <v>90998.186877225802</v>
      </c>
      <c r="D36" s="474">
        <v>70292.655085405408</v>
      </c>
      <c r="E36" s="474">
        <f t="shared" si="0"/>
        <v>20705.531791820395</v>
      </c>
      <c r="F36" s="475">
        <f t="shared" si="1"/>
        <v>0.77246215004529517</v>
      </c>
    </row>
    <row r="37" spans="2:6">
      <c r="B37" s="465" t="s">
        <v>35</v>
      </c>
      <c r="C37" s="476">
        <f>SUM(C7:C36)</f>
        <v>866589.25259397412</v>
      </c>
      <c r="D37" s="476">
        <f>SUM(D7:D36)</f>
        <v>529332.10605955648</v>
      </c>
      <c r="E37" s="476">
        <f t="shared" si="0"/>
        <v>337257.14653441764</v>
      </c>
      <c r="F37" s="477">
        <f t="shared" si="1"/>
        <v>0.6108223757392548</v>
      </c>
    </row>
  </sheetData>
  <sheetProtection password="82A0" sheet="1" objects="1" scenarios="1"/>
  <mergeCells count="1">
    <mergeCell ref="C5:F5"/>
  </mergeCells>
  <conditionalFormatting sqref="B1:B1048576">
    <cfRule type="cellIs" dxfId="37" priority="8" operator="equal">
      <formula>"  "</formula>
    </cfRule>
  </conditionalFormatting>
  <hyperlinks>
    <hyperlink ref="B3" r:id="rId1"/>
  </hyperlinks>
  <pageMargins left="0.7" right="0.7" top="0.75" bottom="0.75" header="0.3" footer="0.3"/>
  <pageSetup scale="52" fitToHeight="0" orientation="landscape" r:id="rId2"/>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3"/>
  <sheetViews>
    <sheetView showGridLines="0" topLeftCell="A16" zoomScale="90" zoomScaleNormal="90" zoomScaleSheetLayoutView="85" workbookViewId="0">
      <selection activeCell="D17" sqref="D17"/>
    </sheetView>
  </sheetViews>
  <sheetFormatPr baseColWidth="10" defaultColWidth="9.109375" defaultRowHeight="13.8"/>
  <cols>
    <col min="1" max="1" width="2.33203125" style="146" customWidth="1"/>
    <col min="2" max="2" width="53.6640625" style="146" customWidth="1"/>
    <col min="3" max="3" width="29.44140625" style="146" customWidth="1"/>
    <col min="4" max="4" width="24.109375" style="146" customWidth="1"/>
    <col min="5" max="5" width="20.88671875" style="146" customWidth="1"/>
    <col min="6" max="6" width="17.44140625" style="146" customWidth="1"/>
    <col min="7" max="7" width="24.109375" style="146" bestFit="1" customWidth="1"/>
    <col min="8" max="8" width="29" style="146" customWidth="1"/>
    <col min="9" max="9" width="19" style="146" bestFit="1" customWidth="1"/>
    <col min="10" max="10" width="18" style="146" bestFit="1" customWidth="1"/>
    <col min="11" max="16384" width="9.109375" style="146"/>
  </cols>
  <sheetData>
    <row r="1" spans="2:8" ht="6" customHeight="1"/>
    <row r="2" spans="2:8" s="37" customFormat="1" ht="14.4" thickBot="1">
      <c r="B2" s="4" t="s">
        <v>78</v>
      </c>
      <c r="C2" s="36"/>
      <c r="D2" s="36"/>
      <c r="E2" s="36"/>
      <c r="F2" s="36"/>
      <c r="G2" s="36"/>
      <c r="H2" s="36"/>
    </row>
    <row r="3" spans="2:8" ht="14.4" thickBot="1"/>
    <row r="4" spans="2:8" ht="15.6">
      <c r="B4" s="276" t="s">
        <v>188</v>
      </c>
      <c r="C4" s="377"/>
    </row>
    <row r="5" spans="2:8">
      <c r="B5" s="279" t="s">
        <v>69</v>
      </c>
      <c r="C5" s="378"/>
    </row>
    <row r="6" spans="2:8">
      <c r="B6" s="376" t="str">
        <f>"Coûts nets déclarés par les municipalités " &amp;AnnéeRéf</f>
        <v>Coûts nets déclarés par les municipalités 2015</v>
      </c>
      <c r="C6" s="437">
        <f>CoûtsNetsDéclarés</f>
        <v>162767617.64037281</v>
      </c>
    </row>
    <row r="7" spans="2:8">
      <c r="B7" s="274" t="s">
        <v>163</v>
      </c>
      <c r="C7" s="380">
        <f>PourcMatOrphelines</f>
        <v>-6.6000000000000003E-2</v>
      </c>
    </row>
    <row r="8" spans="2:8">
      <c r="B8" s="376" t="s">
        <v>164</v>
      </c>
      <c r="C8" s="437">
        <f>CoûtsNetsDéclarés * (1 + PourcMatOrphelines)</f>
        <v>152024954.8761082</v>
      </c>
    </row>
    <row r="9" spans="2:8">
      <c r="B9" s="274" t="s">
        <v>141</v>
      </c>
      <c r="C9" s="380">
        <f>PourcPE</f>
        <v>-0.05</v>
      </c>
    </row>
    <row r="10" spans="2:8">
      <c r="B10" s="376" t="s">
        <v>62</v>
      </c>
      <c r="C10" s="437">
        <f>ROUND(CoûtsNetsAprèsMatOrph * (1 + PourcPE),2)</f>
        <v>144423707.13</v>
      </c>
    </row>
    <row r="11" spans="2:8" ht="14.4">
      <c r="B11" s="376" t="s">
        <v>173</v>
      </c>
      <c r="C11" s="437"/>
      <c r="D11" s="489"/>
    </row>
    <row r="12" spans="2:8">
      <c r="B12" s="274" t="s">
        <v>108</v>
      </c>
      <c r="C12" s="381">
        <f>FraisMun</f>
        <v>8.5500000000000007E-2</v>
      </c>
    </row>
    <row r="13" spans="2:8">
      <c r="B13" s="275" t="s">
        <v>119</v>
      </c>
      <c r="C13" s="438">
        <f>C12*(C10+C11)</f>
        <v>12348226.959615001</v>
      </c>
    </row>
    <row r="14" spans="2:8">
      <c r="B14" s="382" t="s">
        <v>75</v>
      </c>
      <c r="C14" s="439">
        <f>C10+C13+C11</f>
        <v>156771934.08961499</v>
      </c>
    </row>
    <row r="15" spans="2:8">
      <c r="B15" s="274" t="s">
        <v>63</v>
      </c>
      <c r="C15" s="383">
        <f>PartIndustrie</f>
        <v>1</v>
      </c>
    </row>
    <row r="16" spans="2:8" ht="15.75" customHeight="1">
      <c r="B16" s="384" t="s">
        <v>76</v>
      </c>
      <c r="C16" s="440">
        <f>C15*C14</f>
        <v>156771934.08961499</v>
      </c>
    </row>
    <row r="17" spans="2:6">
      <c r="B17" s="274" t="s">
        <v>64</v>
      </c>
      <c r="C17" s="385">
        <f>PartEEQ</f>
        <v>0.91300000000000003</v>
      </c>
    </row>
    <row r="18" spans="2:6" ht="14.4">
      <c r="B18" s="274" t="s">
        <v>174</v>
      </c>
      <c r="C18" s="487"/>
      <c r="D18" s="489"/>
    </row>
    <row r="19" spans="2:6" ht="14.4" thickBot="1">
      <c r="B19" s="386" t="s">
        <v>77</v>
      </c>
      <c r="C19" s="441">
        <f>C17*CoûtsAssumésIndustrie + C18</f>
        <v>143132775.82381848</v>
      </c>
    </row>
    <row r="20" spans="2:6" ht="14.4" thickBot="1">
      <c r="B20" s="35"/>
      <c r="C20" s="35"/>
    </row>
    <row r="21" spans="2:6" ht="15.6">
      <c r="B21" s="276" t="s">
        <v>152</v>
      </c>
      <c r="C21" s="377"/>
    </row>
    <row r="22" spans="2:6">
      <c r="B22" s="277" t="s">
        <v>120</v>
      </c>
      <c r="C22" s="387"/>
    </row>
    <row r="23" spans="2:6" ht="14.4">
      <c r="B23" s="273" t="s">
        <v>121</v>
      </c>
      <c r="C23" s="442">
        <f>MIN(3000000, IndemnitéRQ * (CompensationMaxRM  + CoûtsAssumésEEQ))</f>
        <v>3000000</v>
      </c>
      <c r="D23" s="361" t="s">
        <v>148</v>
      </c>
      <c r="F23" s="406"/>
    </row>
    <row r="24" spans="2:6">
      <c r="B24" s="274" t="s">
        <v>122</v>
      </c>
      <c r="C24" s="385">
        <f>PartEEQ</f>
        <v>0.91300000000000003</v>
      </c>
    </row>
    <row r="25" spans="2:6">
      <c r="B25" s="278" t="s">
        <v>123</v>
      </c>
      <c r="C25" s="440">
        <f>C23*C24</f>
        <v>2739000</v>
      </c>
    </row>
    <row r="26" spans="2:6">
      <c r="B26" s="279" t="s">
        <v>165</v>
      </c>
      <c r="C26" s="378"/>
    </row>
    <row r="27" spans="2:6">
      <c r="B27" s="280" t="s">
        <v>65</v>
      </c>
      <c r="C27" s="437">
        <f>FraisAdminÉEQ</f>
        <v>2943637</v>
      </c>
    </row>
    <row r="28" spans="2:6">
      <c r="B28" s="280" t="s">
        <v>110</v>
      </c>
      <c r="C28" s="437">
        <f>FraisRDÉEQ</f>
        <v>2386363</v>
      </c>
    </row>
    <row r="29" spans="2:6">
      <c r="B29" s="278" t="s">
        <v>166</v>
      </c>
      <c r="C29" s="440">
        <f>SUM(C27:C28)</f>
        <v>5330000</v>
      </c>
    </row>
    <row r="30" spans="2:6" ht="14.4" thickBot="1">
      <c r="B30" s="417" t="s">
        <v>45</v>
      </c>
      <c r="C30" s="441">
        <f>C25+C29</f>
        <v>8069000</v>
      </c>
    </row>
    <row r="31" spans="2:6" ht="14.4" thickBot="1"/>
    <row r="32" spans="2:6" ht="15.6">
      <c r="B32" s="276" t="s">
        <v>67</v>
      </c>
      <c r="C32" s="377"/>
    </row>
    <row r="33" spans="2:10">
      <c r="B33" s="388" t="s">
        <v>96</v>
      </c>
      <c r="C33" s="389">
        <f>ProvCréances</f>
        <v>0.02</v>
      </c>
    </row>
    <row r="34" spans="2:10">
      <c r="B34" s="280" t="s">
        <v>42</v>
      </c>
      <c r="C34" s="437">
        <f>C33 * (FraisGestionImputés + CoûtsAssumésEEQ)</f>
        <v>3024035.5164763695</v>
      </c>
    </row>
    <row r="35" spans="2:10">
      <c r="B35" s="390" t="s">
        <v>153</v>
      </c>
      <c r="C35" s="438">
        <f>MAX(CoûtsAssumésEEQ * FondsRisquePourcCible -FondsRisqueActuel,0)</f>
        <v>0</v>
      </c>
    </row>
    <row r="36" spans="2:10" ht="14.4" thickBot="1">
      <c r="B36" s="391" t="s">
        <v>79</v>
      </c>
      <c r="C36" s="443">
        <f>SUM(C34:C35)</f>
        <v>3024035.5164763695</v>
      </c>
    </row>
    <row r="37" spans="2:10" ht="14.4" thickBot="1">
      <c r="B37" s="407"/>
      <c r="C37" s="408"/>
    </row>
    <row r="38" spans="2:10">
      <c r="B38" s="420" t="s">
        <v>149</v>
      </c>
      <c r="C38" s="421"/>
    </row>
    <row r="39" spans="2:10">
      <c r="B39" s="410" t="s">
        <v>150</v>
      </c>
      <c r="C39" s="614">
        <f>FondsRetraitConjoint</f>
        <v>-1655000</v>
      </c>
    </row>
    <row r="40" spans="2:10">
      <c r="B40" s="376" t="s">
        <v>1</v>
      </c>
      <c r="C40" s="379">
        <f>FondsRetraitImprimé</f>
        <v>0</v>
      </c>
    </row>
    <row r="41" spans="2:10" ht="14.4" thickBot="1">
      <c r="B41" s="411" t="s">
        <v>4</v>
      </c>
      <c r="C41" s="435">
        <f>FondsRetraitCE</f>
        <v>0</v>
      </c>
      <c r="D41" s="418"/>
    </row>
    <row r="42" spans="2:10" ht="14.4" thickBot="1">
      <c r="B42" s="37"/>
      <c r="C42" s="478"/>
      <c r="D42" s="418"/>
    </row>
    <row r="43" spans="2:10" ht="14.4" thickBot="1">
      <c r="B43" s="485" t="s">
        <v>175</v>
      </c>
      <c r="C43" s="486">
        <f>AnticipationTarifFixe</f>
        <v>-1200000</v>
      </c>
      <c r="D43" s="418"/>
    </row>
    <row r="44" spans="2:10">
      <c r="B44" s="407"/>
      <c r="C44" s="408"/>
      <c r="D44" s="408"/>
    </row>
    <row r="45" spans="2:10" ht="14.4" thickBot="1">
      <c r="B45" s="35"/>
      <c r="C45" s="35"/>
      <c r="D45" s="35"/>
    </row>
    <row r="46" spans="2:10" ht="15.6">
      <c r="B46" s="651" t="s">
        <v>124</v>
      </c>
      <c r="C46" s="652"/>
      <c r="D46" s="652"/>
      <c r="E46" s="652"/>
      <c r="F46" s="652"/>
      <c r="G46" s="652"/>
      <c r="H46" s="653"/>
    </row>
    <row r="47" spans="2:10" ht="55.2">
      <c r="B47" s="392" t="s">
        <v>43</v>
      </c>
      <c r="C47" s="268" t="s">
        <v>92</v>
      </c>
      <c r="D47" s="268" t="s">
        <v>154</v>
      </c>
      <c r="E47" s="268" t="s">
        <v>93</v>
      </c>
      <c r="F47" s="268" t="s">
        <v>155</v>
      </c>
      <c r="G47" s="268" t="s">
        <v>94</v>
      </c>
      <c r="H47" s="397" t="s">
        <v>95</v>
      </c>
    </row>
    <row r="48" spans="2:10">
      <c r="B48" s="273" t="s">
        <v>1</v>
      </c>
      <c r="C48" s="409">
        <f>PartCoutImprimés</f>
        <v>0.19400000000000001</v>
      </c>
      <c r="D48" s="409">
        <f>$C48 / ($C$48 + $C$49)</f>
        <v>0.21248630887185105</v>
      </c>
      <c r="E48" s="398">
        <f>PartImprimésRelative * CoûtsAssumésEEQ</f>
        <v>30413755.213385306</v>
      </c>
      <c r="F48" s="398">
        <f>C40 + $C$39 * D48</f>
        <v>-351664.84118291346</v>
      </c>
      <c r="G48" s="394">
        <f>E48 + F48 + (FraisProvisionEtRisque + $C$43) * $D48</f>
        <v>30449672.946349617</v>
      </c>
      <c r="H48" s="419">
        <f>$G48 + FraisGestionImputés * SUMIF(tblMatières[Catégorie],$B48,tblMatières[Nombre déclarations]) / SUM(tblMatières[Nombre déclarations])</f>
        <v>31799220.26733109</v>
      </c>
      <c r="I48" s="422"/>
      <c r="J48" s="423"/>
    </row>
    <row r="49" spans="2:10" ht="14.4" thickBot="1">
      <c r="B49" s="507" t="s">
        <v>4</v>
      </c>
      <c r="C49" s="508">
        <f>PartCoutContenants</f>
        <v>0.71899999999999997</v>
      </c>
      <c r="D49" s="508">
        <f>$C49 / ($C$48 + $C$49)</f>
        <v>0.78751369112814895</v>
      </c>
      <c r="E49" s="509">
        <f>PartCERelative*CoûtsAssumésEEQ</f>
        <v>112719020.61043316</v>
      </c>
      <c r="F49" s="509">
        <f>C41 + $C$39 * D49</f>
        <v>-1303335.1588170866</v>
      </c>
      <c r="G49" s="510">
        <f>E49 + F49 + (FraisProvisionEtRisque + $C$43) * $D49</f>
        <v>112852138.39394522</v>
      </c>
      <c r="H49" s="511">
        <f>$G49 + FraisGestionImputés * SUMIF(tblMatières[Catégorie],$B49,tblMatières[Nombre déclarations]) / SUM(tblMatières[Nombre déclarations])</f>
        <v>119571591.07296374</v>
      </c>
      <c r="I49" s="422"/>
      <c r="J49" s="423"/>
    </row>
    <row r="50" spans="2:10" ht="15" thickTop="1" thickBot="1">
      <c r="B50" s="503" t="s">
        <v>44</v>
      </c>
      <c r="C50" s="504">
        <f t="shared" ref="C50:H50" si="0">SUM(C48:C49)</f>
        <v>0.91300000000000003</v>
      </c>
      <c r="D50" s="504">
        <f t="shared" si="0"/>
        <v>1</v>
      </c>
      <c r="E50" s="505">
        <f t="shared" si="0"/>
        <v>143132775.82381848</v>
      </c>
      <c r="F50" s="505">
        <f t="shared" si="0"/>
        <v>-1655000</v>
      </c>
      <c r="G50" s="505">
        <f t="shared" si="0"/>
        <v>143301811.34029484</v>
      </c>
      <c r="H50" s="506">
        <f t="shared" si="0"/>
        <v>151370811.34029484</v>
      </c>
    </row>
    <row r="51" spans="2:10">
      <c r="G51" s="424"/>
    </row>
    <row r="52" spans="2:10">
      <c r="H52" s="424"/>
    </row>
    <row r="53" spans="2:10">
      <c r="H53" s="399"/>
    </row>
  </sheetData>
  <sheetProtection password="82A0" sheet="1" objects="1" scenarios="1"/>
  <mergeCells count="1">
    <mergeCell ref="B46:H46"/>
  </mergeCells>
  <pageMargins left="0.7" right="0.7" top="0.75" bottom="0.75" header="0.3" footer="0.3"/>
  <pageSetup scale="56" fitToHeight="0" orientation="landscape" r:id="rId1"/>
  <ignoredErrors>
    <ignoredError sqref="C17" formula="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R89"/>
  <sheetViews>
    <sheetView showGridLines="0" zoomScale="90" zoomScaleNormal="90" zoomScaleSheetLayoutView="80" workbookViewId="0">
      <pane xSplit="4" ySplit="1" topLeftCell="E2" activePane="bottomRight" state="frozen"/>
      <selection pane="topRight" activeCell="E1" sqref="E1"/>
      <selection pane="bottomLeft" activeCell="A2" sqref="A2"/>
      <selection pane="bottomRight" activeCell="E22" sqref="E22"/>
    </sheetView>
  </sheetViews>
  <sheetFormatPr baseColWidth="10" defaultRowHeight="14.4"/>
  <cols>
    <col min="1" max="1" width="2.88671875" customWidth="1"/>
    <col min="2" max="2" width="17.109375" style="1" customWidth="1"/>
    <col min="3" max="3" width="13.109375" customWidth="1"/>
    <col min="4" max="4" width="54" customWidth="1"/>
    <col min="5" max="5" width="11" customWidth="1"/>
    <col min="6" max="6" width="15" customWidth="1"/>
    <col min="7" max="7" width="17.109375" customWidth="1"/>
    <col min="8" max="8" width="16.88671875" customWidth="1"/>
    <col min="9" max="9" width="18.5546875" customWidth="1"/>
    <col min="10" max="10" width="23.33203125" customWidth="1"/>
    <col min="11" max="11" width="12.44140625" customWidth="1"/>
    <col min="12" max="12" width="14.6640625" customWidth="1"/>
    <col min="13" max="13" width="10.5546875" customWidth="1"/>
    <col min="14" max="14" width="14.6640625" customWidth="1"/>
    <col min="15" max="15" width="14.33203125" customWidth="1"/>
    <col min="16" max="16" width="16.6640625" bestFit="1" customWidth="1"/>
    <col min="17" max="17" width="17.33203125" customWidth="1"/>
    <col min="18" max="18" width="13.33203125" customWidth="1"/>
    <col min="19" max="19" width="14" customWidth="1"/>
    <col min="20" max="20" width="13.6640625" bestFit="1" customWidth="1"/>
    <col min="21" max="21" width="13" customWidth="1"/>
    <col min="22" max="22" width="10.44140625" customWidth="1"/>
    <col min="23" max="23" width="13.33203125" bestFit="1" customWidth="1"/>
    <col min="24" max="24" width="18.44140625" bestFit="1" customWidth="1"/>
    <col min="25" max="25" width="14.6640625" customWidth="1"/>
    <col min="26" max="26" width="13.88671875" customWidth="1"/>
    <col min="27" max="27" width="18.33203125" customWidth="1"/>
  </cols>
  <sheetData>
    <row r="1" spans="2:18" ht="9" customHeight="1"/>
    <row r="2" spans="2:18">
      <c r="B2" s="1" t="s">
        <v>147</v>
      </c>
    </row>
    <row r="3" spans="2:18" ht="7.5" customHeight="1">
      <c r="E3" s="353"/>
    </row>
    <row r="4" spans="2:18" ht="47.25" customHeight="1">
      <c r="B4" s="446" t="s">
        <v>43</v>
      </c>
      <c r="C4" s="446" t="s">
        <v>128</v>
      </c>
      <c r="D4" s="446" t="s">
        <v>127</v>
      </c>
      <c r="E4" s="446" t="s">
        <v>160</v>
      </c>
      <c r="F4" s="446" t="s">
        <v>129</v>
      </c>
      <c r="G4" s="446" t="s">
        <v>162</v>
      </c>
      <c r="H4" s="446" t="s">
        <v>130</v>
      </c>
      <c r="I4" s="446" t="s">
        <v>131</v>
      </c>
      <c r="J4" s="446" t="s">
        <v>132</v>
      </c>
      <c r="K4" s="446" t="s">
        <v>161</v>
      </c>
      <c r="L4" s="446" t="s">
        <v>133</v>
      </c>
      <c r="M4" s="446" t="s">
        <v>135</v>
      </c>
      <c r="N4" s="446" t="s">
        <v>136</v>
      </c>
      <c r="O4" s="446" t="s">
        <v>134</v>
      </c>
      <c r="P4" s="446" t="s">
        <v>137</v>
      </c>
      <c r="Q4" s="575" t="s">
        <v>214</v>
      </c>
      <c r="R4" s="575" t="s">
        <v>215</v>
      </c>
    </row>
    <row r="5" spans="2:18">
      <c r="B5" s="37" t="s">
        <v>1</v>
      </c>
      <c r="C5" s="37" t="s">
        <v>1</v>
      </c>
      <c r="D5" s="37" t="s">
        <v>7</v>
      </c>
      <c r="E5" s="37">
        <v>1</v>
      </c>
      <c r="F5" s="288">
        <f>INDEX(rgDéclaration_NbDécl,MATCH(tblMatières[[#This Row],[Matière]],rgDéclaration_Matières,0))</f>
        <v>129</v>
      </c>
      <c r="G5" s="287">
        <f>INT(INDEX(rgDéclaration_QtéFinale,MATCH(tblMatières[[#This Row],[Matière]],rgDéclaration_Matières,0)))</f>
        <v>97857078</v>
      </c>
      <c r="H5" s="287">
        <f>tblMatières[[#This Row],[Quantité attendue net (kg)]]/1000</f>
        <v>97857.077999999994</v>
      </c>
      <c r="I5" s="287">
        <f>tblMatières[[#This Row],[Quantité déclarée (tonnes)]]</f>
        <v>97857.077999999994</v>
      </c>
      <c r="J5" s="287">
        <f>tblMatières[[#This Row],[Quantité générée (tonnes)]]*tblMatières[[#This Row],[% récupération]]</f>
        <v>83603.981319046245</v>
      </c>
      <c r="K5" s="287">
        <f>tblMatières[[#This Row],[Quantité générée (tonnes)]]-tblMatières[[#This Row],[Quantité récupérée (tonnes)]]</f>
        <v>14253.096680953749</v>
      </c>
      <c r="L5" s="451">
        <f>INDEX(Caractérisation!$F$7:$F$36,MATCH(tblMatières[[#This Row],[Matière]],Caractérisation!$B$7:$B$36,0))</f>
        <v>0.85434782059450265</v>
      </c>
      <c r="M5" s="488">
        <f>INDEX(Paramètres!$C$48:$C$77,MATCH(tblMatières[[#This Row],[Matière]],Paramètres!$B$48:$B$77,0))</f>
        <v>169.72788477579965</v>
      </c>
      <c r="N5" s="488">
        <f>INDEX(Paramètres!$D$48:$D$77,MATCH(tblMatières[[#This Row],[Matière]],Paramètres!$B$48:$B$77,0))</f>
        <v>75.332065206007883</v>
      </c>
      <c r="O5" s="290">
        <f>tblMatières[[#This Row],[Coût brut]]-tblMatières[[#This Row],[Revenu brut]]</f>
        <v>94.395819569791769</v>
      </c>
      <c r="P5" s="341">
        <f>INDEX(Paramètres!$E$48:$E$77,MATCH(tblMatières[[#This Row],[Matière]],Paramètres!$B$48:$B$77,0))</f>
        <v>0</v>
      </c>
      <c r="Q5" s="590">
        <v>100503.348</v>
      </c>
      <c r="R5" s="455">
        <v>160.44</v>
      </c>
    </row>
    <row r="6" spans="2:18">
      <c r="B6" s="37" t="s">
        <v>1</v>
      </c>
      <c r="C6" s="37" t="s">
        <v>1</v>
      </c>
      <c r="D6" s="37" t="s">
        <v>8</v>
      </c>
      <c r="E6" s="37">
        <v>2</v>
      </c>
      <c r="F6" s="288">
        <f>INDEX(rgDéclaration_NbDécl,MATCH(tblMatières[[#This Row],[Matière]],rgDéclaration_Matières,0))</f>
        <v>174</v>
      </c>
      <c r="G6" s="287">
        <f>INT(INDEX(rgDéclaration_QtéFinale,MATCH(tblMatières[[#This Row],[Matière]],rgDéclaration_Matières,0)))</f>
        <v>16849690</v>
      </c>
      <c r="H6" s="287">
        <f>tblMatières[[#This Row],[Quantité attendue net (kg)]]/1000</f>
        <v>16849.689999999999</v>
      </c>
      <c r="I6" s="287">
        <f>tblMatières[[#This Row],[Quantité déclarée (tonnes)]]</f>
        <v>16849.689999999999</v>
      </c>
      <c r="J6" s="287">
        <f>tblMatières[[#This Row],[Quantité générée (tonnes)]]*tblMatières[[#This Row],[% récupération]]</f>
        <v>13513.311672303862</v>
      </c>
      <c r="K6" s="287">
        <f>tblMatières[[#This Row],[Quantité générée (tonnes)]]-tblMatières[[#This Row],[Quantité récupérée (tonnes)]]</f>
        <v>3336.3783276961367</v>
      </c>
      <c r="L6" s="451">
        <f>INDEX(Caractérisation!$F$7:$F$36,MATCH(tblMatières[[#This Row],[Matière]],Caractérisation!$B$7:$B$36,0))</f>
        <v>0.80199170858952673</v>
      </c>
      <c r="M6" s="488">
        <f>INDEX(Paramètres!$C$48:$C$77,MATCH(tblMatières[[#This Row],[Matière]],Paramètres!$B$48:$B$77,0))</f>
        <v>166.39290013808409</v>
      </c>
      <c r="N6" s="488">
        <f>INDEX(Paramètres!$D$48:$D$77,MATCH(tblMatières[[#This Row],[Matière]],Paramètres!$B$48:$B$77,0))</f>
        <v>73.153008582348562</v>
      </c>
      <c r="O6" s="290">
        <f>tblMatières[[#This Row],[Coût brut]]-tblMatières[[#This Row],[Revenu brut]]</f>
        <v>93.239891555735525</v>
      </c>
      <c r="P6" s="341">
        <f>INDEX(Paramètres!$E$48:$E$77,MATCH(tblMatières[[#This Row],[Matière]],Paramètres!$B$48:$B$77,0))</f>
        <v>0</v>
      </c>
      <c r="Q6" s="590">
        <v>16909.731</v>
      </c>
      <c r="R6" s="455">
        <v>232.86</v>
      </c>
    </row>
    <row r="7" spans="2:18">
      <c r="B7" s="37" t="s">
        <v>1</v>
      </c>
      <c r="C7" s="37" t="s">
        <v>1</v>
      </c>
      <c r="D7" s="37" t="s">
        <v>5</v>
      </c>
      <c r="E7" s="37">
        <v>3</v>
      </c>
      <c r="F7" s="288">
        <f>INDEX(rgDéclaration_NbDécl,MATCH(tblMatières[[#This Row],[Matière]],rgDéclaration_Matières,0))</f>
        <v>47</v>
      </c>
      <c r="G7" s="287">
        <f>INT(INDEX(rgDéclaration_QtéFinale,MATCH(tblMatières[[#This Row],[Matière]],rgDéclaration_Matières,0)))</f>
        <v>10816571</v>
      </c>
      <c r="H7" s="287">
        <f>tblMatières[[#This Row],[Quantité attendue net (kg)]]/1000</f>
        <v>10816.571</v>
      </c>
      <c r="I7" s="287">
        <f>tblMatières[[#This Row],[Quantité déclarée (tonnes)]]</f>
        <v>10816.571</v>
      </c>
      <c r="J7" s="287">
        <f>tblMatières[[#This Row],[Quantité générée (tonnes)]]*tblMatières[[#This Row],[% récupération]]</f>
        <v>9110.2160408458858</v>
      </c>
      <c r="K7" s="287">
        <f>tblMatières[[#This Row],[Quantité générée (tonnes)]]-tblMatières[[#This Row],[Quantité récupérée (tonnes)]]</f>
        <v>1706.3549591541141</v>
      </c>
      <c r="L7" s="451">
        <f>INDEX(Caractérisation!$F$7:$F$36,MATCH(tblMatières[[#This Row],[Matière]],Caractérisation!$B$7:$B$36,0))</f>
        <v>0.84224622025278495</v>
      </c>
      <c r="M7" s="488">
        <f>INDEX(Paramètres!$C$48:$C$77,MATCH(tblMatières[[#This Row],[Matière]],Paramètres!$B$48:$B$77,0))</f>
        <v>164.35730748701044</v>
      </c>
      <c r="N7" s="488">
        <f>INDEX(Paramètres!$D$48:$D$77,MATCH(tblMatières[[#This Row],[Matière]],Paramètres!$B$48:$B$77,0))</f>
        <v>73.567588697758424</v>
      </c>
      <c r="O7" s="290">
        <f>tblMatières[[#This Row],[Coût brut]]-tblMatières[[#This Row],[Revenu brut]]</f>
        <v>90.789718789252021</v>
      </c>
      <c r="P7" s="341">
        <f>INDEX(Paramètres!$E$48:$E$77,MATCH(tblMatières[[#This Row],[Matière]],Paramètres!$B$48:$B$77,0))</f>
        <v>0</v>
      </c>
      <c r="Q7" s="590">
        <v>10816.571</v>
      </c>
      <c r="R7" s="455">
        <v>232.86</v>
      </c>
    </row>
    <row r="8" spans="2:18">
      <c r="B8" s="37" t="s">
        <v>1</v>
      </c>
      <c r="C8" s="37" t="s">
        <v>1</v>
      </c>
      <c r="D8" s="37" t="s">
        <v>9</v>
      </c>
      <c r="E8" s="37">
        <v>4</v>
      </c>
      <c r="F8" s="288">
        <f>INDEX(rgDéclaration_NbDécl,MATCH(tblMatières[[#This Row],[Matière]],rgDéclaration_Matières,0))</f>
        <v>2</v>
      </c>
      <c r="G8" s="287">
        <f>INT(INDEX(rgDéclaration_QtéFinale,MATCH(tblMatières[[#This Row],[Matière]],rgDéclaration_Matières,0)))</f>
        <v>1956911</v>
      </c>
      <c r="H8" s="287">
        <f>tblMatières[[#This Row],[Quantité attendue net (kg)]]/1000</f>
        <v>1956.9110000000001</v>
      </c>
      <c r="I8" s="287">
        <f>tblMatières[[#This Row],[Quantité déclarée (tonnes)]]</f>
        <v>1956.9110000000001</v>
      </c>
      <c r="J8" s="287">
        <f>tblMatières[[#This Row],[Quantité générée (tonnes)]]*tblMatières[[#This Row],[% récupération]]</f>
        <v>1761.6059678635033</v>
      </c>
      <c r="K8" s="287">
        <f>tblMatières[[#This Row],[Quantité générée (tonnes)]]-tblMatières[[#This Row],[Quantité récupérée (tonnes)]]</f>
        <v>195.30503213649672</v>
      </c>
      <c r="L8" s="451">
        <f>INDEX(Caractérisation!$F$7:$F$36,MATCH(tblMatières[[#This Row],[Matière]],Caractérisation!$B$7:$B$36,0))</f>
        <v>0.90019728432386725</v>
      </c>
      <c r="M8" s="488">
        <f>INDEX(Paramètres!$C$48:$C$77,MATCH(tblMatières[[#This Row],[Matière]],Paramètres!$B$48:$B$77,0))</f>
        <v>166.79364171278405</v>
      </c>
      <c r="N8" s="488">
        <f>INDEX(Paramètres!$D$48:$D$77,MATCH(tblMatières[[#This Row],[Matière]],Paramètres!$B$48:$B$77,0))</f>
        <v>71.148817027272301</v>
      </c>
      <c r="O8" s="290">
        <f>tblMatières[[#This Row],[Coût brut]]-tblMatières[[#This Row],[Revenu brut]]</f>
        <v>95.64482468551175</v>
      </c>
      <c r="P8" s="341">
        <f>INDEX(Paramètres!$E$48:$E$77,MATCH(tblMatières[[#This Row],[Matière]],Paramètres!$B$48:$B$77,0))</f>
        <v>0</v>
      </c>
      <c r="Q8" s="590">
        <v>1956.9110000000001</v>
      </c>
      <c r="R8" s="455">
        <v>232.86</v>
      </c>
    </row>
    <row r="9" spans="2:18">
      <c r="B9" s="37" t="s">
        <v>1</v>
      </c>
      <c r="C9" s="37" t="s">
        <v>1</v>
      </c>
      <c r="D9" s="37" t="s">
        <v>11</v>
      </c>
      <c r="E9" s="37">
        <v>5</v>
      </c>
      <c r="F9" s="288">
        <f>INDEX(rgDéclaration_NbDécl,MATCH(tblMatières[[#This Row],[Matière]],rgDéclaration_Matières,0))</f>
        <v>107</v>
      </c>
      <c r="G9" s="287">
        <f>INT(INDEX(rgDéclaration_QtéFinale,MATCH(tblMatières[[#This Row],[Matière]],rgDéclaration_Matières,0)))</f>
        <v>4514693</v>
      </c>
      <c r="H9" s="287">
        <f>tblMatières[[#This Row],[Quantité attendue net (kg)]]/1000</f>
        <v>4514.6930000000002</v>
      </c>
      <c r="I9" s="287">
        <f>tblMatières[[#This Row],[Quantité déclarée (tonnes)]]</f>
        <v>4514.6930000000002</v>
      </c>
      <c r="J9" s="287">
        <f>tblMatières[[#This Row],[Quantité générée (tonnes)]]*tblMatières[[#This Row],[% récupération]]</f>
        <v>2990.2667386915787</v>
      </c>
      <c r="K9" s="287">
        <f>tblMatières[[#This Row],[Quantité générée (tonnes)]]-tblMatières[[#This Row],[Quantité récupérée (tonnes)]]</f>
        <v>1524.4262613084215</v>
      </c>
      <c r="L9" s="451">
        <f>INDEX(Caractérisation!$F$7:$F$36,MATCH(tblMatières[[#This Row],[Matière]],Caractérisation!$B$7:$B$36,0))</f>
        <v>0.66234110241639432</v>
      </c>
      <c r="M9" s="488">
        <f>INDEX(Paramètres!$C$48:$C$77,MATCH(tblMatières[[#This Row],[Matière]],Paramètres!$B$48:$B$77,0))</f>
        <v>167.56600211042783</v>
      </c>
      <c r="N9" s="488">
        <f>INDEX(Paramètres!$D$48:$D$77,MATCH(tblMatières[[#This Row],[Matière]],Paramètres!$B$48:$B$77,0))</f>
        <v>71.029789977591292</v>
      </c>
      <c r="O9" s="290">
        <f>tblMatières[[#This Row],[Coût brut]]-tblMatières[[#This Row],[Revenu brut]]</f>
        <v>96.536212132836539</v>
      </c>
      <c r="P9" s="341">
        <f>INDEX(Paramètres!$E$48:$E$77,MATCH(tblMatières[[#This Row],[Matière]],Paramètres!$B$48:$B$77,0))</f>
        <v>0</v>
      </c>
      <c r="Q9" s="590">
        <v>4514.6930000000002</v>
      </c>
      <c r="R9" s="455">
        <v>232.86</v>
      </c>
    </row>
    <row r="10" spans="2:18">
      <c r="B10" s="37" t="s">
        <v>1</v>
      </c>
      <c r="C10" s="37" t="s">
        <v>1</v>
      </c>
      <c r="D10" s="37" t="s">
        <v>10</v>
      </c>
      <c r="E10" s="37">
        <v>6</v>
      </c>
      <c r="F10" s="288">
        <f>INDEX(rgDéclaration_NbDécl,MATCH(tblMatières[[#This Row],[Matière]],rgDéclaration_Matières,0))</f>
        <v>543</v>
      </c>
      <c r="G10" s="287">
        <f>INT(INDEX(rgDéclaration_QtéFinale,MATCH(tblMatières[[#This Row],[Matière]],rgDéclaration_Matières,0)))</f>
        <v>26023887</v>
      </c>
      <c r="H10" s="287">
        <f>tblMatières[[#This Row],[Quantité attendue net (kg)]]/1000</f>
        <v>26023.886999999999</v>
      </c>
      <c r="I10" s="287">
        <f>tblMatières[[#This Row],[Quantité déclarée (tonnes)]]</f>
        <v>26023.886999999999</v>
      </c>
      <c r="J10" s="287">
        <f>tblMatières[[#This Row],[Quantité générée (tonnes)]]*tblMatières[[#This Row],[% récupération]]</f>
        <v>14888.300480798885</v>
      </c>
      <c r="K10" s="287">
        <f>tblMatières[[#This Row],[Quantité générée (tonnes)]]-tblMatières[[#This Row],[Quantité récupérée (tonnes)]]</f>
        <v>11135.586519201113</v>
      </c>
      <c r="L10" s="451">
        <f>INDEX(Caractérisation!$F$7:$F$36,MATCH(tblMatières[[#This Row],[Matière]],Caractérisation!$B$7:$B$36,0))</f>
        <v>0.57210133447009226</v>
      </c>
      <c r="M10" s="488">
        <f>INDEX(Paramètres!$C$48:$C$77,MATCH(tblMatières[[#This Row],[Matière]],Paramètres!$B$48:$B$77,0))</f>
        <v>172.77872783111425</v>
      </c>
      <c r="N10" s="488">
        <f>INDEX(Paramètres!$D$48:$D$77,MATCH(tblMatières[[#This Row],[Matière]],Paramètres!$B$48:$B$77,0))</f>
        <v>65.539103801495926</v>
      </c>
      <c r="O10" s="290">
        <f>tblMatières[[#This Row],[Coût brut]]-tblMatières[[#This Row],[Revenu brut]]</f>
        <v>107.23962402961833</v>
      </c>
      <c r="P10" s="341">
        <f>INDEX(Paramètres!$E$48:$E$77,MATCH(tblMatières[[#This Row],[Matière]],Paramètres!$B$48:$B$77,0))</f>
        <v>0</v>
      </c>
      <c r="Q10" s="590">
        <v>26543.002</v>
      </c>
      <c r="R10" s="455">
        <v>232.86</v>
      </c>
    </row>
    <row r="11" spans="2:18">
      <c r="B11" s="37" t="s">
        <v>4</v>
      </c>
      <c r="C11" s="37" t="s">
        <v>37</v>
      </c>
      <c r="D11" s="37" t="s">
        <v>12</v>
      </c>
      <c r="E11" s="37">
        <v>10</v>
      </c>
      <c r="F11" s="288">
        <f>INDEX(rgDéclaration_NbDécl,MATCH(tblMatières[[#This Row],[Matière]],rgDéclaration_Matières,0))</f>
        <v>443</v>
      </c>
      <c r="G11" s="287">
        <f>INT(INDEX(rgDéclaration_QtéFinale,MATCH(tblMatières[[#This Row],[Matière]],rgDéclaration_Matières,0)))</f>
        <v>56835883</v>
      </c>
      <c r="H11" s="287">
        <f>tblMatières[[#This Row],[Quantité attendue net (kg)]]/1000</f>
        <v>56835.883000000002</v>
      </c>
      <c r="I11" s="287">
        <f>tblMatières[[#This Row],[Quantité déclarée (tonnes)]]</f>
        <v>56835.883000000002</v>
      </c>
      <c r="J11" s="287">
        <f>tblMatières[[#This Row],[Quantité générée (tonnes)]]*tblMatières[[#This Row],[% récupération]]</f>
        <v>40298.230838201678</v>
      </c>
      <c r="K11" s="287">
        <f>tblMatières[[#This Row],[Quantité générée (tonnes)]]-tblMatières[[#This Row],[Quantité récupérée (tonnes)]]</f>
        <v>16537.652161798324</v>
      </c>
      <c r="L11" s="451">
        <f>INDEX(Caractérisation!$F$7:$F$36,MATCH(tblMatières[[#This Row],[Matière]],Caractérisation!$B$7:$B$36,0))</f>
        <v>0.70902797161085152</v>
      </c>
      <c r="M11" s="488">
        <f>INDEX(Paramètres!$C$48:$C$77,MATCH(tblMatières[[#This Row],[Matière]],Paramètres!$B$48:$B$77,0))</f>
        <v>242.44432734821206</v>
      </c>
      <c r="N11" s="488">
        <f>INDEX(Paramètres!$D$48:$D$77,MATCH(tblMatières[[#This Row],[Matière]],Paramètres!$B$48:$B$77,0))</f>
        <v>88.758193070403635</v>
      </c>
      <c r="O11" s="290">
        <f>tblMatières[[#This Row],[Coût brut]]-tblMatières[[#This Row],[Revenu brut]]</f>
        <v>153.68613427780843</v>
      </c>
      <c r="P11" s="341">
        <f>INDEX(Paramètres!$E$48:$E$77,MATCH(tblMatières[[#This Row],[Matière]],Paramètres!$B$48:$B$77,0))</f>
        <v>0</v>
      </c>
      <c r="Q11" s="590">
        <v>57170.796000000002</v>
      </c>
      <c r="R11" s="455">
        <v>185.93</v>
      </c>
    </row>
    <row r="12" spans="2:18">
      <c r="B12" s="37" t="s">
        <v>4</v>
      </c>
      <c r="C12" s="37" t="s">
        <v>37</v>
      </c>
      <c r="D12" s="37" t="s">
        <v>125</v>
      </c>
      <c r="E12" s="37">
        <v>11</v>
      </c>
      <c r="F12" s="288">
        <f>INDEX(rgDéclaration_NbDécl,MATCH(tblMatières[[#This Row],[Matière]],rgDéclaration_Matières,0))</f>
        <v>59</v>
      </c>
      <c r="G12" s="287">
        <f>INT(INDEX(rgDéclaration_QtéFinale,MATCH(tblMatières[[#This Row],[Matière]],rgDéclaration_Matières,0)))</f>
        <v>2779533</v>
      </c>
      <c r="H12" s="287">
        <f>tblMatières[[#This Row],[Quantité attendue net (kg)]]/1000</f>
        <v>2779.5329999999999</v>
      </c>
      <c r="I12" s="287">
        <f>tblMatières[[#This Row],[Quantité déclarée (tonnes)]]</f>
        <v>2779.5329999999999</v>
      </c>
      <c r="J12" s="287">
        <f>tblMatières[[#This Row],[Quantité générée (tonnes)]]*tblMatières[[#This Row],[% récupération]]</f>
        <v>954.88002661803682</v>
      </c>
      <c r="K12" s="287">
        <f>tblMatières[[#This Row],[Quantité générée (tonnes)]]-tblMatières[[#This Row],[Quantité récupérée (tonnes)]]</f>
        <v>1824.652973381963</v>
      </c>
      <c r="L12" s="451">
        <f>INDEX(Caractérisation!$F$7:$F$36,MATCH(tblMatières[[#This Row],[Matière]],Caractérisation!$B$7:$B$36,0))</f>
        <v>0.34353973369556573</v>
      </c>
      <c r="M12" s="488">
        <f>INDEX(Paramètres!$C$48:$C$77,MATCH(tblMatières[[#This Row],[Matière]],Paramètres!$B$48:$B$77,0))</f>
        <v>242.44432734821206</v>
      </c>
      <c r="N12" s="488">
        <f>INDEX(Paramètres!$D$48:$D$77,MATCH(tblMatières[[#This Row],[Matière]],Paramètres!$B$48:$B$77,0))</f>
        <v>88.758193070403635</v>
      </c>
      <c r="O12" s="290">
        <f>tblMatières[[#This Row],[Coût brut]]-tblMatières[[#This Row],[Revenu brut]]</f>
        <v>153.68613427780843</v>
      </c>
      <c r="P12" s="341">
        <f>INDEX(Paramètres!$E$48:$E$77,MATCH(tblMatières[[#This Row],[Matière]],Paramètres!$B$48:$B$77,0))</f>
        <v>0</v>
      </c>
      <c r="Q12" s="590">
        <v>2779.5329999999999</v>
      </c>
      <c r="R12" s="455">
        <v>185.93</v>
      </c>
    </row>
    <row r="13" spans="2:18">
      <c r="B13" s="37" t="s">
        <v>4</v>
      </c>
      <c r="C13" s="37" t="s">
        <v>37</v>
      </c>
      <c r="D13" s="37" t="s">
        <v>112</v>
      </c>
      <c r="E13" s="37">
        <v>12</v>
      </c>
      <c r="F13" s="288">
        <f>INDEX(rgDéclaration_NbDécl,MATCH(tblMatières[[#This Row],[Matière]],rgDéclaration_Matières,0))</f>
        <v>27</v>
      </c>
      <c r="G13" s="287">
        <f>INT(INDEX(rgDéclaration_QtéFinale,MATCH(tblMatières[[#This Row],[Matière]],rgDéclaration_Matières,0)))</f>
        <v>311677</v>
      </c>
      <c r="H13" s="287">
        <f>tblMatières[[#This Row],[Quantité attendue net (kg)]]/1000</f>
        <v>311.67700000000002</v>
      </c>
      <c r="I13" s="287">
        <f>tblMatières[[#This Row],[Quantité déclarée (tonnes)]]</f>
        <v>311.67700000000002</v>
      </c>
      <c r="J13" s="287">
        <f>tblMatières[[#This Row],[Quantité générée (tonnes)]]*tblMatières[[#This Row],[% récupération]]</f>
        <v>99.135800518476543</v>
      </c>
      <c r="K13" s="287">
        <f>tblMatières[[#This Row],[Quantité générée (tonnes)]]-tblMatières[[#This Row],[Quantité récupérée (tonnes)]]</f>
        <v>212.54119948152348</v>
      </c>
      <c r="L13" s="451">
        <f>INDEX(Caractérisation!$F$7:$F$36,MATCH(tblMatières[[#This Row],[Matière]],Caractérisation!$B$7:$B$36,0))</f>
        <v>0.31807223670170254</v>
      </c>
      <c r="M13" s="488">
        <f>INDEX(Paramètres!$C$48:$C$77,MATCH(tblMatières[[#This Row],[Matière]],Paramètres!$B$48:$B$77,0))</f>
        <v>242.44432734821206</v>
      </c>
      <c r="N13" s="488">
        <f>INDEX(Paramètres!$D$48:$D$77,MATCH(tblMatières[[#This Row],[Matière]],Paramètres!$B$48:$B$77,0))</f>
        <v>88.758193070403635</v>
      </c>
      <c r="O13" s="290">
        <f>tblMatières[[#This Row],[Coût brut]]-tblMatières[[#This Row],[Revenu brut]]</f>
        <v>153.68613427780843</v>
      </c>
      <c r="P13" s="341">
        <f>INDEX(Paramètres!$E$48:$E$77,MATCH(tblMatières[[#This Row],[Matière]],Paramètres!$B$48:$B$77,0))</f>
        <v>0</v>
      </c>
      <c r="Q13" s="590">
        <v>311.67700000000002</v>
      </c>
      <c r="R13" s="455">
        <v>185.93</v>
      </c>
    </row>
    <row r="14" spans="2:18">
      <c r="B14" s="37" t="s">
        <v>4</v>
      </c>
      <c r="C14" s="37" t="s">
        <v>37</v>
      </c>
      <c r="D14" s="37" t="s">
        <v>13</v>
      </c>
      <c r="E14" s="37">
        <v>13</v>
      </c>
      <c r="F14" s="288">
        <f>INDEX(rgDéclaration_NbDécl,MATCH(tblMatières[[#This Row],[Matière]],rgDéclaration_Matières,0))</f>
        <v>646</v>
      </c>
      <c r="G14" s="287">
        <f>INT(INDEX(rgDéclaration_QtéFinale,MATCH(tblMatières[[#This Row],[Matière]],rgDéclaration_Matières,0)))</f>
        <v>87303759</v>
      </c>
      <c r="H14" s="287">
        <f>tblMatières[[#This Row],[Quantité attendue net (kg)]]/1000</f>
        <v>87303.759000000005</v>
      </c>
      <c r="I14" s="287">
        <f>tblMatières[[#This Row],[Quantité déclarée (tonnes)]]</f>
        <v>87303.759000000005</v>
      </c>
      <c r="J14" s="287">
        <f>tblMatières[[#This Row],[Quantité générée (tonnes)]]*tblMatières[[#This Row],[% récupération]]</f>
        <v>49237.634927102714</v>
      </c>
      <c r="K14" s="287">
        <f>tblMatières[[#This Row],[Quantité générée (tonnes)]]-tblMatières[[#This Row],[Quantité récupérée (tonnes)]]</f>
        <v>38066.124072897292</v>
      </c>
      <c r="L14" s="451">
        <f>INDEX(Caractérisation!$F$7:$F$36,MATCH(tblMatières[[#This Row],[Matière]],Caractérisation!$B$7:$B$36,0))</f>
        <v>0.56398069786551475</v>
      </c>
      <c r="M14" s="488">
        <f>INDEX(Paramètres!$C$48:$C$77,MATCH(tblMatières[[#This Row],[Matière]],Paramètres!$B$48:$B$77,0))</f>
        <v>222.89</v>
      </c>
      <c r="N14" s="488">
        <f>INDEX(Paramètres!$D$48:$D$77,MATCH(tblMatières[[#This Row],[Matière]],Paramètres!$B$48:$B$77,0))</f>
        <v>73.59</v>
      </c>
      <c r="O14" s="290">
        <f>tblMatières[[#This Row],[Coût brut]]-tblMatières[[#This Row],[Revenu brut]]</f>
        <v>149.29999999999998</v>
      </c>
      <c r="P14" s="341">
        <f>INDEX(Paramètres!$E$48:$E$77,MATCH(tblMatières[[#This Row],[Matière]],Paramètres!$B$48:$B$77,0))</f>
        <v>0</v>
      </c>
      <c r="Q14" s="590">
        <v>87558.263999999996</v>
      </c>
      <c r="R14" s="455">
        <v>195.27</v>
      </c>
    </row>
    <row r="15" spans="2:18">
      <c r="B15" s="37" t="s">
        <v>4</v>
      </c>
      <c r="C15" s="37" t="s">
        <v>37</v>
      </c>
      <c r="D15" s="37" t="s">
        <v>14</v>
      </c>
      <c r="E15" s="37">
        <v>14</v>
      </c>
      <c r="F15" s="288">
        <f>INDEX(rgDéclaration_NbDécl,MATCH(tblMatières[[#This Row],[Matière]],rgDéclaration_Matières,0))</f>
        <v>44</v>
      </c>
      <c r="G15" s="287">
        <f>INT(INDEX(rgDéclaration_QtéFinale,MATCH(tblMatières[[#This Row],[Matière]],rgDéclaration_Matières,0)))</f>
        <v>12195005</v>
      </c>
      <c r="H15" s="287">
        <f>tblMatières[[#This Row],[Quantité attendue net (kg)]]/1000</f>
        <v>12195.004999999999</v>
      </c>
      <c r="I15" s="287">
        <f>tblMatières[[#This Row],[Quantité déclarée (tonnes)]]</f>
        <v>12195.004999999999</v>
      </c>
      <c r="J15" s="287">
        <f>tblMatières[[#This Row],[Quantité générée (tonnes)]]*tblMatières[[#This Row],[% récupération]]</f>
        <v>8372.0581397423357</v>
      </c>
      <c r="K15" s="287">
        <f>tblMatières[[#This Row],[Quantité générée (tonnes)]]-tblMatières[[#This Row],[Quantité récupérée (tonnes)]]</f>
        <v>3822.9468602576635</v>
      </c>
      <c r="L15" s="451">
        <f>INDEX(Caractérisation!$F$7:$F$36,MATCH(tblMatières[[#This Row],[Matière]],Caractérisation!$B$7:$B$36,0))</f>
        <v>0.68651535114108908</v>
      </c>
      <c r="M15" s="488">
        <f>INDEX(Paramètres!$C$48:$C$77,MATCH(tblMatières[[#This Row],[Matière]],Paramètres!$B$48:$B$77,0))</f>
        <v>253.66340713032608</v>
      </c>
      <c r="N15" s="488">
        <f>INDEX(Paramètres!$D$48:$D$77,MATCH(tblMatières[[#This Row],[Matière]],Paramètres!$B$48:$B$77,0))</f>
        <v>71.375170862239642</v>
      </c>
      <c r="O15" s="290">
        <f>tblMatières[[#This Row],[Coût brut]]-tblMatières[[#This Row],[Revenu brut]]</f>
        <v>182.28823626808645</v>
      </c>
      <c r="P15" s="341">
        <f>INDEX(Paramètres!$E$48:$E$77,MATCH(tblMatières[[#This Row],[Matière]],Paramètres!$B$48:$B$77,0))</f>
        <v>0</v>
      </c>
      <c r="Q15" s="590">
        <v>12195.59</v>
      </c>
      <c r="R15" s="455">
        <v>195.28</v>
      </c>
    </row>
    <row r="16" spans="2:18">
      <c r="B16" s="37" t="s">
        <v>4</v>
      </c>
      <c r="C16" s="37" t="s">
        <v>37</v>
      </c>
      <c r="D16" s="37" t="s">
        <v>15</v>
      </c>
      <c r="E16" s="37">
        <v>15</v>
      </c>
      <c r="F16" s="288">
        <f>INDEX(rgDéclaration_NbDécl,MATCH(tblMatières[[#This Row],[Matière]],rgDéclaration_Matières,0))</f>
        <v>299</v>
      </c>
      <c r="G16" s="287">
        <f>INT(INDEX(rgDéclaration_QtéFinale,MATCH(tblMatières[[#This Row],[Matière]],rgDéclaration_Matières,0)))</f>
        <v>12539928</v>
      </c>
      <c r="H16" s="287">
        <f>tblMatières[[#This Row],[Quantité attendue net (kg)]]/1000</f>
        <v>12539.928</v>
      </c>
      <c r="I16" s="287">
        <f>tblMatières[[#This Row],[Quantité déclarée (tonnes)]]</f>
        <v>12539.928</v>
      </c>
      <c r="J16" s="287">
        <f>tblMatières[[#This Row],[Quantité générée (tonnes)]]*tblMatières[[#This Row],[% récupération]]</f>
        <v>3387.8210957870429</v>
      </c>
      <c r="K16" s="287">
        <f>tblMatières[[#This Row],[Quantité générée (tonnes)]]-tblMatières[[#This Row],[Quantité récupérée (tonnes)]]</f>
        <v>9152.1069042129566</v>
      </c>
      <c r="L16" s="451">
        <f>INDEX(Caractérisation!$F$7:$F$36,MATCH(tblMatières[[#This Row],[Matière]],Caractérisation!$B$7:$B$36,0))</f>
        <v>0.27016272308637201</v>
      </c>
      <c r="M16" s="488">
        <f>INDEX(Paramètres!$C$48:$C$77,MATCH(tblMatières[[#This Row],[Matière]],Paramètres!$B$48:$B$77,0))</f>
        <v>264.55625404850372</v>
      </c>
      <c r="N16" s="488">
        <f>INDEX(Paramètres!$D$48:$D$77,MATCH(tblMatières[[#This Row],[Matière]],Paramètres!$B$48:$B$77,0))</f>
        <v>37.843922147128509</v>
      </c>
      <c r="O16" s="290">
        <f>tblMatières[[#This Row],[Coût brut]]-tblMatières[[#This Row],[Revenu brut]]</f>
        <v>226.71233190137519</v>
      </c>
      <c r="P16" s="341">
        <f>INDEX(Paramètres!$E$48:$E$77,MATCH(tblMatières[[#This Row],[Matière]],Paramètres!$B$48:$B$77,0))</f>
        <v>0</v>
      </c>
      <c r="Q16" s="590">
        <v>12555.716</v>
      </c>
      <c r="R16" s="455">
        <v>244.95</v>
      </c>
    </row>
    <row r="17" spans="2:18">
      <c r="B17" s="37" t="s">
        <v>4</v>
      </c>
      <c r="C17" s="37" t="s">
        <v>37</v>
      </c>
      <c r="D17" s="37" t="s">
        <v>16</v>
      </c>
      <c r="E17" s="37">
        <v>16</v>
      </c>
      <c r="F17" s="288">
        <f>INDEX(rgDéclaration_NbDécl,MATCH(tblMatières[[#This Row],[Matière]],rgDéclaration_Matières,0))</f>
        <v>43</v>
      </c>
      <c r="G17" s="287">
        <f>INT(INDEX(rgDéclaration_QtéFinale,MATCH(tblMatières[[#This Row],[Matière]],rgDéclaration_Matières,0)))</f>
        <v>6206049</v>
      </c>
      <c r="H17" s="287">
        <f>tblMatières[[#This Row],[Quantité attendue net (kg)]]/1000</f>
        <v>6206.049</v>
      </c>
      <c r="I17" s="287">
        <f>tblMatières[[#This Row],[Quantité déclarée (tonnes)]]</f>
        <v>6206.049</v>
      </c>
      <c r="J17" s="287">
        <f>tblMatières[[#This Row],[Quantité générée (tonnes)]]*tblMatières[[#This Row],[% récupération]]</f>
        <v>3243.8457246695884</v>
      </c>
      <c r="K17" s="287">
        <f>tblMatières[[#This Row],[Quantité générée (tonnes)]]-tblMatières[[#This Row],[Quantité récupérée (tonnes)]]</f>
        <v>2962.2032753304115</v>
      </c>
      <c r="L17" s="451">
        <f>INDEX(Caractérisation!$F$7:$F$36,MATCH(tblMatières[[#This Row],[Matière]],Caractérisation!$B$7:$B$36,0))</f>
        <v>0.52269096242546398</v>
      </c>
      <c r="M17" s="488">
        <f>INDEX(Paramètres!$C$48:$C$77,MATCH(tblMatières[[#This Row],[Matière]],Paramètres!$B$48:$B$77,0))</f>
        <v>249.79123840473002</v>
      </c>
      <c r="N17" s="488">
        <f>INDEX(Paramètres!$D$48:$D$77,MATCH(tblMatières[[#This Row],[Matière]],Paramètres!$B$48:$B$77,0))</f>
        <v>63.679871675323923</v>
      </c>
      <c r="O17" s="290">
        <f>tblMatières[[#This Row],[Coût brut]]-tblMatières[[#This Row],[Revenu brut]]</f>
        <v>186.11136672940609</v>
      </c>
      <c r="P17" s="341">
        <f>INDEX(Paramètres!$E$48:$E$77,MATCH(tblMatières[[#This Row],[Matière]],Paramètres!$B$48:$B$77,0))</f>
        <v>0</v>
      </c>
      <c r="Q17" s="590">
        <v>6206.1570000000002</v>
      </c>
      <c r="R17" s="455">
        <v>228.69</v>
      </c>
    </row>
    <row r="18" spans="2:18">
      <c r="B18" s="37" t="s">
        <v>4</v>
      </c>
      <c r="C18" s="37" t="s">
        <v>22</v>
      </c>
      <c r="D18" s="37" t="s">
        <v>24</v>
      </c>
      <c r="E18" s="37">
        <v>20</v>
      </c>
      <c r="F18" s="288">
        <f>INDEX(rgDéclaration_NbDécl,MATCH(tblMatières[[#This Row],[Matière]],rgDéclaration_Matières,0))</f>
        <v>190</v>
      </c>
      <c r="G18" s="287">
        <f>INT(INDEX(rgDéclaration_QtéFinale,MATCH(tblMatières[[#This Row],[Matière]],rgDéclaration_Matières,0)))</f>
        <v>23327881</v>
      </c>
      <c r="H18" s="287">
        <f>tblMatières[[#This Row],[Quantité attendue net (kg)]]/1000</f>
        <v>23327.881000000001</v>
      </c>
      <c r="I18" s="287">
        <f>tblMatières[[#This Row],[Quantité déclarée (tonnes)]]</f>
        <v>23327.881000000001</v>
      </c>
      <c r="J18" s="287">
        <f>tblMatières[[#This Row],[Quantité générée (tonnes)]]*tblMatières[[#This Row],[% récupération]]</f>
        <v>13712.749776472803</v>
      </c>
      <c r="K18" s="287">
        <f>tblMatières[[#This Row],[Quantité générée (tonnes)]]-tblMatières[[#This Row],[Quantité récupérée (tonnes)]]</f>
        <v>9615.131223527198</v>
      </c>
      <c r="L18" s="451">
        <f>INDEX(Caractérisation!$F$7:$F$36,MATCH(tblMatières[[#This Row],[Matière]],Caractérisation!$B$7:$B$36,0))</f>
        <v>0.58782663442396688</v>
      </c>
      <c r="M18" s="488">
        <f>INDEX(Paramètres!$C$48:$C$77,MATCH(tblMatières[[#This Row],[Matière]],Paramètres!$B$48:$B$77,0))</f>
        <v>504.66950684735929</v>
      </c>
      <c r="N18" s="488">
        <f>INDEX(Paramètres!$D$48:$D$77,MATCH(tblMatières[[#This Row],[Matière]],Paramètres!$B$48:$B$77,0))</f>
        <v>298.66732096778912</v>
      </c>
      <c r="O18" s="290">
        <f>tblMatières[[#This Row],[Coût brut]]-tblMatières[[#This Row],[Revenu brut]]</f>
        <v>206.00218587957016</v>
      </c>
      <c r="P18" s="341">
        <f>INDEX(Paramètres!$E$48:$E$77,MATCH(tblMatières[[#This Row],[Matière]],Paramètres!$B$48:$B$77,0))</f>
        <v>0</v>
      </c>
      <c r="Q18" s="590">
        <v>23176.743999999999</v>
      </c>
      <c r="R18" s="455">
        <v>262.35000000000002</v>
      </c>
    </row>
    <row r="19" spans="2:18">
      <c r="B19" s="37" t="s">
        <v>4</v>
      </c>
      <c r="C19" s="37" t="s">
        <v>22</v>
      </c>
      <c r="D19" s="37" t="s">
        <v>25</v>
      </c>
      <c r="E19" s="37">
        <v>21</v>
      </c>
      <c r="F19" s="288">
        <f>INDEX(rgDéclaration_NbDécl,MATCH(tblMatières[[#This Row],[Matière]],rgDéclaration_Matières,0))</f>
        <v>265</v>
      </c>
      <c r="G19" s="287">
        <f>INT(INDEX(rgDéclaration_QtéFinale,MATCH(tblMatières[[#This Row],[Matière]],rgDéclaration_Matières,0)))</f>
        <v>16585286</v>
      </c>
      <c r="H19" s="287">
        <f>tblMatières[[#This Row],[Quantité attendue net (kg)]]/1000</f>
        <v>16585.286</v>
      </c>
      <c r="I19" s="287">
        <f>tblMatières[[#This Row],[Quantité déclarée (tonnes)]]</f>
        <v>16585.286</v>
      </c>
      <c r="J19" s="287">
        <f>tblMatières[[#This Row],[Quantité générée (tonnes)]]*tblMatières[[#This Row],[% récupération]]</f>
        <v>10304.630443688771</v>
      </c>
      <c r="K19" s="287">
        <f>tblMatières[[#This Row],[Quantité générée (tonnes)]]-tblMatières[[#This Row],[Quantité récupérée (tonnes)]]</f>
        <v>6280.6555563112288</v>
      </c>
      <c r="L19" s="451">
        <f>INDEX(Caractérisation!$F$7:$F$36,MATCH(tblMatières[[#This Row],[Matière]],Caractérisation!$B$7:$B$36,0))</f>
        <v>0.62131159171381012</v>
      </c>
      <c r="M19" s="488">
        <f>INDEX(Paramètres!$C$48:$C$77,MATCH(tblMatières[[#This Row],[Matière]],Paramètres!$B$48:$B$77,0))</f>
        <v>438.19871526060439</v>
      </c>
      <c r="N19" s="488">
        <f>INDEX(Paramètres!$D$48:$D$77,MATCH(tblMatières[[#This Row],[Matière]],Paramètres!$B$48:$B$77,0))</f>
        <v>358.77255105008879</v>
      </c>
      <c r="O19" s="290">
        <f>tblMatières[[#This Row],[Coût brut]]-tblMatières[[#This Row],[Revenu brut]]</f>
        <v>79.426164210515594</v>
      </c>
      <c r="P19" s="341">
        <f>INDEX(Paramètres!$E$48:$E$77,MATCH(tblMatières[[#This Row],[Matière]],Paramètres!$B$48:$B$77,0))</f>
        <v>0</v>
      </c>
      <c r="Q19" s="590">
        <v>16609.435000000001</v>
      </c>
      <c r="R19" s="455">
        <v>159.65</v>
      </c>
    </row>
    <row r="20" spans="2:18">
      <c r="B20" s="37" t="s">
        <v>4</v>
      </c>
      <c r="C20" s="37" t="s">
        <v>22</v>
      </c>
      <c r="D20" s="37" t="s">
        <v>23</v>
      </c>
      <c r="E20" s="37">
        <v>22</v>
      </c>
      <c r="F20" s="288">
        <f>INDEX(rgDéclaration_NbDécl,MATCH(tblMatières[[#This Row],[Matière]],rgDéclaration_Matières,0))</f>
        <v>355</v>
      </c>
      <c r="G20" s="287">
        <f>INT(INDEX(rgDéclaration_QtéFinale,MATCH(tblMatières[[#This Row],[Matière]],rgDéclaration_Matières,0)))</f>
        <v>12008449</v>
      </c>
      <c r="H20" s="287">
        <f>tblMatières[[#This Row],[Quantité attendue net (kg)]]/1000</f>
        <v>12008.449000000001</v>
      </c>
      <c r="I20" s="287">
        <f>tblMatières[[#This Row],[Quantité déclarée (tonnes)]]</f>
        <v>12008.449000000001</v>
      </c>
      <c r="J20" s="287">
        <f>tblMatières[[#This Row],[Quantité générée (tonnes)]]*tblMatières[[#This Row],[% récupération]]</f>
        <v>1611.1743447144986</v>
      </c>
      <c r="K20" s="287">
        <f>tblMatières[[#This Row],[Quantité générée (tonnes)]]-tblMatières[[#This Row],[Quantité récupérée (tonnes)]]</f>
        <v>10397.274655285502</v>
      </c>
      <c r="L20" s="451">
        <f>INDEX(Caractérisation!$F$7:$F$36,MATCH(tblMatières[[#This Row],[Matière]],Caractérisation!$B$7:$B$36,0))</f>
        <v>0.13417006182184715</v>
      </c>
      <c r="M20" s="488">
        <f>INDEX(Paramètres!$C$48:$C$77,MATCH(tblMatières[[#This Row],[Matière]],Paramètres!$B$48:$B$77,0))</f>
        <v>474.20041448241329</v>
      </c>
      <c r="N20" s="488">
        <f>INDEX(Paramètres!$D$48:$D$77,MATCH(tblMatières[[#This Row],[Matière]],Paramètres!$B$48:$B$77,0))</f>
        <v>-55.041457183679881</v>
      </c>
      <c r="O20" s="290">
        <f>tblMatières[[#This Row],[Coût brut]]-tblMatières[[#This Row],[Revenu brut]]</f>
        <v>529.24187166609318</v>
      </c>
      <c r="P20" s="341">
        <f>INDEX(Paramètres!$E$48:$E$77,MATCH(tblMatières[[#This Row],[Matière]],Paramètres!$B$48:$B$77,0))</f>
        <v>0</v>
      </c>
      <c r="Q20" s="590">
        <v>12064.946</v>
      </c>
      <c r="R20" s="455">
        <v>471.42</v>
      </c>
    </row>
    <row r="21" spans="2:18">
      <c r="B21" s="37" t="s">
        <v>4</v>
      </c>
      <c r="C21" s="37" t="s">
        <v>22</v>
      </c>
      <c r="D21" s="37" t="s">
        <v>26</v>
      </c>
      <c r="E21" s="37">
        <v>23</v>
      </c>
      <c r="F21" s="288">
        <f>INDEX(rgDéclaration_NbDécl,MATCH(tblMatières[[#This Row],[Matière]],rgDéclaration_Matières,0))</f>
        <v>470</v>
      </c>
      <c r="G21" s="287">
        <f>INT(INDEX(rgDéclaration_QtéFinale,MATCH(tblMatières[[#This Row],[Matière]],rgDéclaration_Matières,0)))</f>
        <v>21835476</v>
      </c>
      <c r="H21" s="287">
        <f>tblMatières[[#This Row],[Quantité attendue net (kg)]]/1000</f>
        <v>21835.475999999999</v>
      </c>
      <c r="I21" s="287">
        <f>tblMatières[[#This Row],[Quantité déclarée (tonnes)]]</f>
        <v>21835.475999999999</v>
      </c>
      <c r="J21" s="287">
        <f>tblMatières[[#This Row],[Quantité générée (tonnes)]]*tblMatières[[#This Row],[% récupération]]</f>
        <v>4772.5143538478269</v>
      </c>
      <c r="K21" s="287">
        <f>tblMatières[[#This Row],[Quantité générée (tonnes)]]-tblMatières[[#This Row],[Quantité récupérée (tonnes)]]</f>
        <v>17062.961646152173</v>
      </c>
      <c r="L21" s="451">
        <f>INDEX(Caractérisation!$F$7:$F$36,MATCH(tblMatières[[#This Row],[Matière]],Caractérisation!$B$7:$B$36,0))</f>
        <v>0.21856699409015987</v>
      </c>
      <c r="M21" s="488">
        <f>INDEX(Paramètres!$C$48:$C$77,MATCH(tblMatières[[#This Row],[Matière]],Paramètres!$B$48:$B$77,0))</f>
        <v>629.02736574643279</v>
      </c>
      <c r="N21" s="488">
        <f>INDEX(Paramètres!$D$48:$D$77,MATCH(tblMatières[[#This Row],[Matière]],Paramètres!$B$48:$B$77,0))</f>
        <v>-6.6195306319440776</v>
      </c>
      <c r="O21" s="290">
        <f>tblMatières[[#This Row],[Coût brut]]-tblMatières[[#This Row],[Revenu brut]]</f>
        <v>635.64689637837682</v>
      </c>
      <c r="P21" s="341">
        <f>INDEX(Paramètres!$E$48:$E$77,MATCH(tblMatières[[#This Row],[Matière]],Paramètres!$B$48:$B$77,0))</f>
        <v>0</v>
      </c>
      <c r="Q21" s="590">
        <v>21920.366999999998</v>
      </c>
      <c r="R21" s="455">
        <v>471.42</v>
      </c>
    </row>
    <row r="22" spans="2:18">
      <c r="B22" s="37" t="s">
        <v>4</v>
      </c>
      <c r="C22" s="37" t="s">
        <v>22</v>
      </c>
      <c r="D22" s="37" t="s">
        <v>202</v>
      </c>
      <c r="E22" s="37">
        <v>24</v>
      </c>
      <c r="F22" s="288">
        <f>INDEX(rgDéclaration_NbDécl,MATCH(tblMatières[[#This Row],[Matière]],rgDéclaration_Matières,0))</f>
        <v>181</v>
      </c>
      <c r="G22" s="287">
        <f>INT(INDEX(rgDéclaration_QtéFinale,MATCH(tblMatières[[#This Row],[Matière]],rgDéclaration_Matières,0)))</f>
        <v>9133494</v>
      </c>
      <c r="H22" s="287">
        <f>tblMatières[[#This Row],[Quantité attendue net (kg)]]/1000</f>
        <v>9133.4940000000006</v>
      </c>
      <c r="I22" s="287">
        <f>tblMatières[[#This Row],[Quantité déclarée (tonnes)]]</f>
        <v>9133.4940000000006</v>
      </c>
      <c r="J22" s="287">
        <f>tblMatières[[#This Row],[Quantité générée (tonnes)]]*tblMatières[[#This Row],[% récupération]]</f>
        <v>1201.4744535072032</v>
      </c>
      <c r="K22" s="287">
        <f>tblMatières[[#This Row],[Quantité générée (tonnes)]]-tblMatières[[#This Row],[Quantité récupérée (tonnes)]]</f>
        <v>7932.0195464927974</v>
      </c>
      <c r="L22" s="451">
        <f>INDEX(Caractérisation!$F$7:$F$36,MATCH(tblMatières[[#This Row],[Matière]],Caractérisation!$B$7:$B$36,0))</f>
        <v>0.13154598377216903</v>
      </c>
      <c r="M22" s="488">
        <f>INDEX(Paramètres!$C$48:$C$77,MATCH(tblMatières[[#This Row],[Matière]],Paramètres!$B$48:$B$77,0))</f>
        <v>629.02736574643279</v>
      </c>
      <c r="N22" s="488">
        <f>INDEX(Paramètres!$D$48:$D$77,MATCH(tblMatières[[#This Row],[Matière]],Paramètres!$B$48:$B$77,0))</f>
        <v>-6.6195306319440776</v>
      </c>
      <c r="O22" s="290">
        <f>tblMatières[[#This Row],[Coût brut]]-tblMatières[[#This Row],[Revenu brut]]</f>
        <v>635.64689637837682</v>
      </c>
      <c r="P22" s="341">
        <f>INDEX(Paramètres!$E$48:$E$77,MATCH(tblMatières[[#This Row],[Matière]],Paramètres!$B$48:$B$77,0))</f>
        <v>0</v>
      </c>
      <c r="Q22" s="590">
        <v>9207.6</v>
      </c>
      <c r="R22" s="455">
        <v>471.42</v>
      </c>
    </row>
    <row r="23" spans="2:18">
      <c r="B23" s="37" t="s">
        <v>4</v>
      </c>
      <c r="C23" s="37" t="s">
        <v>22</v>
      </c>
      <c r="D23" s="37" t="s">
        <v>157</v>
      </c>
      <c r="E23" s="37">
        <v>25</v>
      </c>
      <c r="F23" s="288">
        <f>INDEX(rgDéclaration_NbDécl,MATCH(tblMatières[[#This Row],[Matière]],rgDéclaration_Matières,0))</f>
        <v>65</v>
      </c>
      <c r="G23" s="287">
        <f>INT(INDEX(rgDéclaration_QtéFinale,MATCH(tblMatières[[#This Row],[Matière]],rgDéclaration_Matières,0)))</f>
        <v>4325627</v>
      </c>
      <c r="H23" s="287">
        <f>tblMatières[[#This Row],[Quantité attendue net (kg)]]/1000</f>
        <v>4325.6270000000004</v>
      </c>
      <c r="I23" s="287">
        <f>tblMatières[[#This Row],[Quantité déclarée (tonnes)]]</f>
        <v>4325.6270000000004</v>
      </c>
      <c r="J23" s="287">
        <f>tblMatières[[#This Row],[Quantité générée (tonnes)]]*tblMatières[[#This Row],[% récupération]]</f>
        <v>310.31781478898597</v>
      </c>
      <c r="K23" s="287">
        <f>tblMatières[[#This Row],[Quantité générée (tonnes)]]-tblMatières[[#This Row],[Quantité récupérée (tonnes)]]</f>
        <v>4015.3091852110147</v>
      </c>
      <c r="L23" s="451">
        <f>INDEX(Caractérisation!$F$7:$F$36,MATCH(tblMatières[[#This Row],[Matière]],Caractérisation!$B$7:$B$36,0))</f>
        <v>7.1739383629005907E-2</v>
      </c>
      <c r="M23" s="488">
        <f>INDEX(Paramètres!$C$48:$C$77,MATCH(tblMatières[[#This Row],[Matière]],Paramètres!$B$48:$B$77,0))</f>
        <v>1970.4541126228219</v>
      </c>
      <c r="N23" s="488">
        <f>INDEX(Paramètres!$D$48:$D$77,MATCH(tblMatières[[#This Row],[Matière]],Paramètres!$B$48:$B$77,0))</f>
        <v>-23.30865656861976</v>
      </c>
      <c r="O23" s="290">
        <f>tblMatières[[#This Row],[Coût brut]]-tblMatières[[#This Row],[Revenu brut]]</f>
        <v>1993.7627691914415</v>
      </c>
      <c r="P23" s="341">
        <f>INDEX(Paramètres!$E$48:$E$77,MATCH(tblMatières[[#This Row],[Matière]],Paramètres!$B$48:$B$77,0))</f>
        <v>0</v>
      </c>
      <c r="Q23" s="590">
        <v>4326.0749999999998</v>
      </c>
      <c r="R23" s="455">
        <v>750.26</v>
      </c>
    </row>
    <row r="24" spans="2:18">
      <c r="B24" s="37" t="s">
        <v>4</v>
      </c>
      <c r="C24" s="37" t="s">
        <v>22</v>
      </c>
      <c r="D24" s="37" t="s">
        <v>158</v>
      </c>
      <c r="E24" s="37">
        <v>26</v>
      </c>
      <c r="F24" s="450">
        <f>INDEX(rgDéclaration_NbDécl,MATCH(tblMatières[[#This Row],[Matière]],rgDéclaration_Matières,0))</f>
        <v>117</v>
      </c>
      <c r="G24" s="287">
        <f>INT(INDEX(rgDéclaration_QtéFinale,MATCH(tblMatières[[#This Row],[Matière]],rgDéclaration_Matières,0)))</f>
        <v>1850197</v>
      </c>
      <c r="H24" s="287">
        <f>tblMatières[[#This Row],[Quantité attendue net (kg)]]/1000</f>
        <v>1850.1969999999999</v>
      </c>
      <c r="I24" s="287">
        <f>tblMatières[[#This Row],[Quantité déclarée (tonnes)]]</f>
        <v>1850.1969999999999</v>
      </c>
      <c r="J24" s="287">
        <f>tblMatières[[#This Row],[Quantité générée (tonnes)]]*tblMatières[[#This Row],[% récupération]]</f>
        <v>606.7541775293505</v>
      </c>
      <c r="K24" s="287">
        <f>tblMatières[[#This Row],[Quantité générée (tonnes)]]-tblMatières[[#This Row],[Quantité récupérée (tonnes)]]</f>
        <v>1243.4428224706494</v>
      </c>
      <c r="L24" s="451">
        <f>INDEX(Caractérisation!$F$7:$F$36,MATCH(tblMatières[[#This Row],[Matière]],Caractérisation!$B$7:$B$36,0))</f>
        <v>0.32794030988556921</v>
      </c>
      <c r="M24" s="488">
        <f>INDEX(Paramètres!$C$48:$C$77,MATCH(tblMatières[[#This Row],[Matière]],Paramètres!$B$48:$B$77,0))</f>
        <v>1970.4541126228219</v>
      </c>
      <c r="N24" s="488">
        <f>INDEX(Paramètres!$D$48:$D$77,MATCH(tblMatières[[#This Row],[Matière]],Paramètres!$B$48:$B$77,0))</f>
        <v>-23.30865656861976</v>
      </c>
      <c r="O24" s="290">
        <f>tblMatières[[#This Row],[Coût brut]]-tblMatières[[#This Row],[Revenu brut]]</f>
        <v>1993.7627691914415</v>
      </c>
      <c r="P24" s="341">
        <f>INDEX(Paramètres!$E$48:$E$77,MATCH(tblMatières[[#This Row],[Matière]],Paramètres!$B$48:$B$77,0))</f>
        <v>0</v>
      </c>
      <c r="Q24" s="590">
        <v>1850.1969999999999</v>
      </c>
      <c r="R24" s="455">
        <v>750.26</v>
      </c>
    </row>
    <row r="25" spans="2:18">
      <c r="B25" s="37" t="s">
        <v>4</v>
      </c>
      <c r="C25" s="37" t="s">
        <v>22</v>
      </c>
      <c r="D25" s="37" t="s">
        <v>27</v>
      </c>
      <c r="E25" s="37">
        <v>27</v>
      </c>
      <c r="F25" s="288">
        <f>INDEX(rgDéclaration_NbDécl,MATCH(tblMatières[[#This Row],[Matière]],rgDéclaration_Matières,0))</f>
        <v>150</v>
      </c>
      <c r="G25" s="287">
        <f>INT(INDEX(rgDéclaration_QtéFinale,MATCH(tblMatières[[#This Row],[Matière]],rgDéclaration_Matières,0)))</f>
        <v>4738963</v>
      </c>
      <c r="H25" s="287">
        <f>tblMatières[[#This Row],[Quantité attendue net (kg)]]/1000</f>
        <v>4738.9629999999997</v>
      </c>
      <c r="I25" s="287">
        <f>tblMatières[[#This Row],[Quantité déclarée (tonnes)]]</f>
        <v>4738.9629999999997</v>
      </c>
      <c r="J25" s="287">
        <f>tblMatières[[#This Row],[Quantité générée (tonnes)]]*tblMatières[[#This Row],[% récupération]]</f>
        <v>1488.3805294562796</v>
      </c>
      <c r="K25" s="287">
        <f>tblMatières[[#This Row],[Quantité générée (tonnes)]]-tblMatières[[#This Row],[Quantité récupérée (tonnes)]]</f>
        <v>3250.5824705437199</v>
      </c>
      <c r="L25" s="451">
        <f>INDEX(Caractérisation!$F$7:$F$36,MATCH(tblMatières[[#This Row],[Matière]],Caractérisation!$B$7:$B$36,0))</f>
        <v>0.31407304286956444</v>
      </c>
      <c r="M25" s="488">
        <f>INDEX(Paramètres!$C$48:$C$77,MATCH(tblMatières[[#This Row],[Matière]],Paramètres!$B$48:$B$77,0))</f>
        <v>389.53318714584924</v>
      </c>
      <c r="N25" s="488">
        <f>INDEX(Paramètres!$D$48:$D$77,MATCH(tblMatières[[#This Row],[Matière]],Paramètres!$B$48:$B$77,0))</f>
        <v>7.5935223568260266</v>
      </c>
      <c r="O25" s="290">
        <f>tblMatières[[#This Row],[Coût brut]]-tblMatières[[#This Row],[Revenu brut]]</f>
        <v>381.9396647890232</v>
      </c>
      <c r="P25" s="341">
        <f>INDEX(Paramètres!$E$48:$E$77,MATCH(tblMatières[[#This Row],[Matière]],Paramètres!$B$48:$B$77,0))</f>
        <v>0</v>
      </c>
      <c r="Q25" s="590">
        <v>5060.2809999999999</v>
      </c>
      <c r="R25" s="455">
        <v>750.26</v>
      </c>
    </row>
    <row r="26" spans="2:18">
      <c r="B26" s="37" t="s">
        <v>4</v>
      </c>
      <c r="C26" s="37" t="s">
        <v>22</v>
      </c>
      <c r="D26" s="37" t="s">
        <v>126</v>
      </c>
      <c r="E26" s="37">
        <v>28</v>
      </c>
      <c r="F26" s="288">
        <f>INDEX(rgDéclaration_NbDécl,MATCH(tblMatières[[#This Row],[Matière]],rgDéclaration_Matières,0))</f>
        <v>110</v>
      </c>
      <c r="G26" s="287">
        <f>INT(INDEX(rgDéclaration_QtéFinale,MATCH(tblMatières[[#This Row],[Matière]],rgDéclaration_Matières,0)))</f>
        <v>7338176</v>
      </c>
      <c r="H26" s="287">
        <f>tblMatières[[#This Row],[Quantité attendue net (kg)]]/1000</f>
        <v>7338.1760000000004</v>
      </c>
      <c r="I26" s="287">
        <f>tblMatières[[#This Row],[Quantité déclarée (tonnes)]]</f>
        <v>7338.1760000000004</v>
      </c>
      <c r="J26" s="287">
        <f>tblMatières[[#This Row],[Quantité générée (tonnes)]]*tblMatières[[#This Row],[% récupération]]</f>
        <v>3577.9912878235536</v>
      </c>
      <c r="K26" s="287">
        <f>tblMatières[[#This Row],[Quantité générée (tonnes)]]-tblMatières[[#This Row],[Quantité récupérée (tonnes)]]</f>
        <v>3760.1847121764467</v>
      </c>
      <c r="L26" s="451">
        <f>INDEX(Caractérisation!$F$7:$F$36,MATCH(tblMatières[[#This Row],[Matière]],Caractérisation!$B$7:$B$36,0))</f>
        <v>0.48758591887460229</v>
      </c>
      <c r="M26" s="488">
        <f>INDEX(Paramètres!$C$48:$C$77,MATCH(tblMatières[[#This Row],[Matière]],Paramètres!$B$48:$B$77,0))</f>
        <v>373.08</v>
      </c>
      <c r="N26" s="488">
        <f>INDEX(Paramètres!$D$48:$D$77,MATCH(tblMatières[[#This Row],[Matière]],Paramètres!$B$48:$B$77,0))</f>
        <v>46.71</v>
      </c>
      <c r="O26" s="290">
        <f>tblMatières[[#This Row],[Coût brut]]-tblMatières[[#This Row],[Revenu brut]]</f>
        <v>326.37</v>
      </c>
      <c r="P26" s="341">
        <f>INDEX(Paramètres!$E$48:$E$77,MATCH(tblMatières[[#This Row],[Matière]],Paramètres!$B$48:$B$77,0))</f>
        <v>0</v>
      </c>
      <c r="Q26" s="590">
        <v>7067.826</v>
      </c>
      <c r="R26" s="455">
        <v>262.35000000000002</v>
      </c>
    </row>
    <row r="27" spans="2:18">
      <c r="B27" s="37" t="s">
        <v>4</v>
      </c>
      <c r="C27" s="37" t="s">
        <v>22</v>
      </c>
      <c r="D27" s="37" t="s">
        <v>203</v>
      </c>
      <c r="E27" s="37">
        <v>29</v>
      </c>
      <c r="F27" s="288">
        <f>INDEX(rgDéclaration_NbDécl,MATCH(tblMatières[[#This Row],[Matière]],rgDéclaration_Matières,0))</f>
        <v>39</v>
      </c>
      <c r="G27" s="287">
        <f>INT(INDEX(rgDéclaration_QtéFinale,MATCH(tblMatières[[#This Row],[Matière]],rgDéclaration_Matières,0)))</f>
        <v>82571</v>
      </c>
      <c r="H27" s="287">
        <f>tblMatières[[#This Row],[Quantité attendue net (kg)]]/1000</f>
        <v>82.570999999999998</v>
      </c>
      <c r="I27" s="287">
        <f>tblMatières[[#This Row],[Quantité déclarée (tonnes)]]</f>
        <v>82.570999999999998</v>
      </c>
      <c r="J27" s="287">
        <f>tblMatières[[#This Row],[Quantité générée (tonnes)]]*tblMatières[[#This Row],[% récupération]]</f>
        <v>16.990421072658968</v>
      </c>
      <c r="K27" s="287">
        <f>tblMatières[[#This Row],[Quantité générée (tonnes)]]-tblMatières[[#This Row],[Quantité récupérée (tonnes)]]</f>
        <v>65.580578927341037</v>
      </c>
      <c r="L27" s="451">
        <f>INDEX(Caractérisation!$F$7:$F$36,MATCH(tblMatières[[#This Row],[Matière]],Caractérisation!$B$7:$B$36,0))</f>
        <v>0.2057674131675645</v>
      </c>
      <c r="M27" s="488">
        <f>INDEX(Paramètres!$C$48:$C$77,MATCH(tblMatières[[#This Row],[Matière]],Paramètres!$B$48:$B$77,0))</f>
        <v>512.82240445693878</v>
      </c>
      <c r="N27" s="488">
        <f>INDEX(Paramètres!$D$48:$D$77,MATCH(tblMatières[[#This Row],[Matière]],Paramètres!$B$48:$B$77,0))</f>
        <v>282.31562432014283</v>
      </c>
      <c r="O27" s="290">
        <f>tblMatières[[#This Row],[Coût brut]]-tblMatières[[#This Row],[Revenu brut]]</f>
        <v>230.50678013679595</v>
      </c>
      <c r="P27" s="341">
        <f>INDEX(Paramètres!$E$48:$E$77,MATCH(tblMatières[[#This Row],[Matière]],Paramètres!$B$48:$B$77,0))</f>
        <v>0</v>
      </c>
      <c r="Q27" s="590">
        <v>88.733999999999995</v>
      </c>
      <c r="R27" s="455">
        <v>750.26</v>
      </c>
    </row>
    <row r="28" spans="2:18">
      <c r="B28" s="37" t="s">
        <v>4</v>
      </c>
      <c r="C28" s="37" t="s">
        <v>22</v>
      </c>
      <c r="D28" s="37" t="s">
        <v>28</v>
      </c>
      <c r="E28" s="37">
        <v>30</v>
      </c>
      <c r="F28" s="288">
        <f>INDEX(rgDéclaration_NbDécl,MATCH(tblMatières[[#This Row],[Matière]],rgDéclaration_Matières,0))</f>
        <v>534</v>
      </c>
      <c r="G28" s="287">
        <f>INT(INDEX(rgDéclaration_QtéFinale,MATCH(tblMatières[[#This Row],[Matière]],rgDéclaration_Matières,0)))</f>
        <v>33170372</v>
      </c>
      <c r="H28" s="287">
        <f>tblMatières[[#This Row],[Quantité attendue net (kg)]]/1000</f>
        <v>33170.372000000003</v>
      </c>
      <c r="I28" s="287">
        <f>tblMatières[[#This Row],[Quantité déclarée (tonnes)]]</f>
        <v>33170.372000000003</v>
      </c>
      <c r="J28" s="287">
        <f>tblMatières[[#This Row],[Quantité générée (tonnes)]]*tblMatières[[#This Row],[% récupération]]</f>
        <v>12075.576019317883</v>
      </c>
      <c r="K28" s="287">
        <f>tblMatières[[#This Row],[Quantité générée (tonnes)]]-tblMatières[[#This Row],[Quantité récupérée (tonnes)]]</f>
        <v>21094.79598068212</v>
      </c>
      <c r="L28" s="451">
        <f>INDEX(Caractérisation!$F$7:$F$36,MATCH(tblMatières[[#This Row],[Matière]],Caractérisation!$B$7:$B$36,0))</f>
        <v>0.36404704835139873</v>
      </c>
      <c r="M28" s="488">
        <f>INDEX(Paramètres!$C$48:$C$77,MATCH(tblMatières[[#This Row],[Matière]],Paramètres!$B$48:$B$77,0))</f>
        <v>380.47</v>
      </c>
      <c r="N28" s="488">
        <f>INDEX(Paramètres!$D$48:$D$77,MATCH(tblMatières[[#This Row],[Matière]],Paramètres!$B$48:$B$77,0))</f>
        <v>111.9</v>
      </c>
      <c r="O28" s="290">
        <f>tblMatières[[#This Row],[Coût brut]]-tblMatières[[#This Row],[Revenu brut]]</f>
        <v>268.57000000000005</v>
      </c>
      <c r="P28" s="341">
        <f>INDEX(Paramètres!$E$48:$E$77,MATCH(tblMatières[[#This Row],[Matière]],Paramètres!$B$48:$B$77,0))</f>
        <v>0</v>
      </c>
      <c r="Q28" s="590">
        <v>33319.733</v>
      </c>
      <c r="R28" s="455">
        <v>302.22000000000003</v>
      </c>
    </row>
    <row r="29" spans="2:18">
      <c r="B29" s="37" t="s">
        <v>4</v>
      </c>
      <c r="C29" s="37" t="s">
        <v>39</v>
      </c>
      <c r="D29" s="37" t="s">
        <v>201</v>
      </c>
      <c r="E29" s="37">
        <v>40</v>
      </c>
      <c r="F29" s="288">
        <f>INDEX(rgDéclaration_NbDécl,MATCH(tblMatières[[#This Row],[Matière]],rgDéclaration_Matières,0))</f>
        <v>89</v>
      </c>
      <c r="G29" s="287">
        <f>INT(INDEX(rgDéclaration_QtéFinale,MATCH(tblMatières[[#This Row],[Matière]],rgDéclaration_Matières,0)))</f>
        <v>2927570</v>
      </c>
      <c r="H29" s="287">
        <f>tblMatières[[#This Row],[Quantité attendue net (kg)]]/1000</f>
        <v>2927.57</v>
      </c>
      <c r="I29" s="287">
        <f>tblMatières[[#This Row],[Quantité déclarée (tonnes)]]</f>
        <v>2927.57</v>
      </c>
      <c r="J29" s="287">
        <f>tblMatières[[#This Row],[Quantité générée (tonnes)]]*tblMatières[[#This Row],[% récupération]]</f>
        <v>1291.1594981629264</v>
      </c>
      <c r="K29" s="287">
        <f>tblMatières[[#This Row],[Quantité générée (tonnes)]]-tblMatières[[#This Row],[Quantité récupérée (tonnes)]]</f>
        <v>1636.4105018370738</v>
      </c>
      <c r="L29" s="451">
        <f>INDEX(Caractérisation!$F$7:$F$36,MATCH(tblMatières[[#This Row],[Matière]],Caractérisation!$B$7:$B$36,0))</f>
        <v>0.44103454337997938</v>
      </c>
      <c r="M29" s="488">
        <f>INDEX(Paramètres!$C$48:$C$77,MATCH(tblMatières[[#This Row],[Matière]],Paramètres!$B$48:$B$77,0))</f>
        <v>415.62857125357999</v>
      </c>
      <c r="N29" s="488">
        <f>INDEX(Paramètres!$D$48:$D$77,MATCH(tblMatières[[#This Row],[Matière]],Paramètres!$B$48:$B$77,0))</f>
        <v>622.6824268872673</v>
      </c>
      <c r="O29" s="290">
        <f>tblMatières[[#This Row],[Coût brut]]-tblMatières[[#This Row],[Revenu brut]]</f>
        <v>-207.05385563368731</v>
      </c>
      <c r="P29" s="341">
        <f>INDEX(Paramètres!$E$48:$E$77,MATCH(tblMatières[[#This Row],[Matière]],Paramètres!$B$48:$B$77,0))</f>
        <v>0</v>
      </c>
      <c r="Q29" s="590">
        <v>2927.57</v>
      </c>
      <c r="R29" s="455">
        <v>127.46</v>
      </c>
    </row>
    <row r="30" spans="2:18">
      <c r="B30" s="37" t="s">
        <v>4</v>
      </c>
      <c r="C30" s="37" t="s">
        <v>39</v>
      </c>
      <c r="D30" s="37" t="s">
        <v>21</v>
      </c>
      <c r="E30" s="37">
        <v>41</v>
      </c>
      <c r="F30" s="288">
        <f>INDEX(rgDéclaration_NbDécl,MATCH(tblMatières[[#This Row],[Matière]],rgDéclaration_Matières,0))</f>
        <v>228</v>
      </c>
      <c r="G30" s="287">
        <f>INT(INDEX(rgDéclaration_QtéFinale,MATCH(tblMatières[[#This Row],[Matière]],rgDéclaration_Matières,0)))</f>
        <v>2080311</v>
      </c>
      <c r="H30" s="287">
        <f>tblMatières[[#This Row],[Quantité attendue net (kg)]]/1000</f>
        <v>2080.3110000000001</v>
      </c>
      <c r="I30" s="287">
        <f>tblMatières[[#This Row],[Quantité déclarée (tonnes)]]</f>
        <v>2080.3110000000001</v>
      </c>
      <c r="J30" s="287">
        <f>tblMatières[[#This Row],[Quantité générée (tonnes)]]*tblMatières[[#This Row],[% récupération]]</f>
        <v>222.33232413320127</v>
      </c>
      <c r="K30" s="287">
        <f>tblMatières[[#This Row],[Quantité générée (tonnes)]]-tblMatières[[#This Row],[Quantité récupérée (tonnes)]]</f>
        <v>1857.9786758667988</v>
      </c>
      <c r="L30" s="451">
        <f>INDEX(Caractérisation!$F$7:$F$36,MATCH(tblMatières[[#This Row],[Matière]],Caractérisation!$B$7:$B$36,0))</f>
        <v>0.10687456064655777</v>
      </c>
      <c r="M30" s="488">
        <f>INDEX(Paramètres!$C$48:$C$77,MATCH(tblMatières[[#This Row],[Matière]],Paramètres!$B$48:$B$77,0))</f>
        <v>388.20984489728426</v>
      </c>
      <c r="N30" s="488">
        <f>INDEX(Paramètres!$D$48:$D$77,MATCH(tblMatières[[#This Row],[Matière]],Paramètres!$B$48:$B$77,0))</f>
        <v>450.54057421259438</v>
      </c>
      <c r="O30" s="290">
        <f>tblMatières[[#This Row],[Coût brut]]-tblMatières[[#This Row],[Revenu brut]]</f>
        <v>-62.330729315310123</v>
      </c>
      <c r="P30" s="341">
        <f>INDEX(Paramètres!$E$48:$E$77,MATCH(tblMatières[[#This Row],[Matière]],Paramètres!$B$48:$B$77,0))</f>
        <v>0</v>
      </c>
      <c r="Q30" s="590">
        <v>2080.9479999999999</v>
      </c>
      <c r="R30" s="455">
        <v>127.46</v>
      </c>
    </row>
    <row r="31" spans="2:18">
      <c r="B31" s="37" t="s">
        <v>4</v>
      </c>
      <c r="C31" s="37" t="s">
        <v>38</v>
      </c>
      <c r="D31" s="37" t="s">
        <v>200</v>
      </c>
      <c r="E31" s="37">
        <v>50</v>
      </c>
      <c r="F31" s="288">
        <f>INDEX(rgDéclaration_NbDécl,MATCH(tblMatières[[#This Row],[Matière]],rgDéclaration_Matières,0))</f>
        <v>104</v>
      </c>
      <c r="G31" s="287">
        <f>INT(INDEX(rgDéclaration_QtéFinale,MATCH(tblMatières[[#This Row],[Matière]],rgDéclaration_Matières,0)))</f>
        <v>1674335</v>
      </c>
      <c r="H31" s="287">
        <f>tblMatières[[#This Row],[Quantité attendue net (kg)]]/1000</f>
        <v>1674.335</v>
      </c>
      <c r="I31" s="287">
        <f>tblMatières[[#This Row],[Quantité déclarée (tonnes)]]</f>
        <v>1674.335</v>
      </c>
      <c r="J31" s="287">
        <f>tblMatières[[#This Row],[Quantité générée (tonnes)]]*tblMatières[[#This Row],[% récupération]]</f>
        <v>310.15292443013641</v>
      </c>
      <c r="K31" s="287">
        <f>tblMatières[[#This Row],[Quantité générée (tonnes)]]-tblMatières[[#This Row],[Quantité récupérée (tonnes)]]</f>
        <v>1364.1820755698636</v>
      </c>
      <c r="L31" s="451">
        <f>INDEX(Caractérisation!$F$7:$F$36,MATCH(tblMatières[[#This Row],[Matière]],Caractérisation!$B$7:$B$36,0))</f>
        <v>0.18523946786642839</v>
      </c>
      <c r="M31" s="488">
        <f>INDEX(Paramètres!$C$48:$C$77,MATCH(tblMatières[[#This Row],[Matière]],Paramètres!$B$48:$B$77,0))</f>
        <v>371.94419990136953</v>
      </c>
      <c r="N31" s="488">
        <f>INDEX(Paramètres!$D$48:$D$77,MATCH(tblMatières[[#This Row],[Matière]],Paramètres!$B$48:$B$77,0))</f>
        <v>571.29893568913508</v>
      </c>
      <c r="O31" s="290">
        <f>tblMatières[[#This Row],[Coût brut]]-tblMatières[[#This Row],[Revenu brut]]</f>
        <v>-199.35473578776555</v>
      </c>
      <c r="P31" s="341">
        <f>INDEX(Paramètres!$E$48:$E$77,MATCH(tblMatières[[#This Row],[Matière]],Paramètres!$B$48:$B$77,0))</f>
        <v>0</v>
      </c>
      <c r="Q31" s="590">
        <v>1674.4069999999999</v>
      </c>
      <c r="R31" s="455">
        <v>144.21</v>
      </c>
    </row>
    <row r="32" spans="2:18">
      <c r="B32" s="37" t="s">
        <v>4</v>
      </c>
      <c r="C32" s="37" t="s">
        <v>38</v>
      </c>
      <c r="D32" s="37" t="s">
        <v>20</v>
      </c>
      <c r="E32" s="37">
        <v>51</v>
      </c>
      <c r="F32" s="288">
        <f>INDEX(rgDéclaration_NbDécl,MATCH(tblMatières[[#This Row],[Matière]],rgDéclaration_Matières,0))</f>
        <v>210</v>
      </c>
      <c r="G32" s="287">
        <f>INT(INDEX(rgDéclaration_QtéFinale,MATCH(tblMatières[[#This Row],[Matière]],rgDéclaration_Matières,0)))</f>
        <v>26835954</v>
      </c>
      <c r="H32" s="287">
        <f>tblMatières[[#This Row],[Quantité attendue net (kg)]]/1000</f>
        <v>26835.954000000002</v>
      </c>
      <c r="I32" s="287">
        <f>tblMatières[[#This Row],[Quantité déclarée (tonnes)]]</f>
        <v>26835.954000000002</v>
      </c>
      <c r="J32" s="287">
        <f>tblMatières[[#This Row],[Quantité générée (tonnes)]]*tblMatières[[#This Row],[% récupération]]</f>
        <v>15021.2491713906</v>
      </c>
      <c r="K32" s="287">
        <f>tblMatières[[#This Row],[Quantité générée (tonnes)]]-tblMatières[[#This Row],[Quantité récupérée (tonnes)]]</f>
        <v>11814.704828609401</v>
      </c>
      <c r="L32" s="451">
        <f>INDEX(Caractérisation!$F$7:$F$36,MATCH(tblMatières[[#This Row],[Matière]],Caractérisation!$B$7:$B$36,0))</f>
        <v>0.55974343864915699</v>
      </c>
      <c r="M32" s="488">
        <f>INDEX(Paramètres!$C$48:$C$77,MATCH(tblMatières[[#This Row],[Matière]],Paramètres!$B$48:$B$77,0))</f>
        <v>277.10493091321689</v>
      </c>
      <c r="N32" s="488">
        <f>INDEX(Paramètres!$D$48:$D$77,MATCH(tblMatières[[#This Row],[Matière]],Paramètres!$B$48:$B$77,0))</f>
        <v>219.29840536479117</v>
      </c>
      <c r="O32" s="290">
        <f>tblMatières[[#This Row],[Coût brut]]-tblMatières[[#This Row],[Revenu brut]]</f>
        <v>57.806525548425725</v>
      </c>
      <c r="P32" s="341">
        <f>INDEX(Paramètres!$E$48:$E$77,MATCH(tblMatières[[#This Row],[Matière]],Paramètres!$B$48:$B$77,0))</f>
        <v>0</v>
      </c>
      <c r="Q32" s="590">
        <v>26909.557000000001</v>
      </c>
      <c r="R32" s="455">
        <v>144.21</v>
      </c>
    </row>
    <row r="33" spans="2:18">
      <c r="B33" s="37" t="s">
        <v>4</v>
      </c>
      <c r="C33" s="37" t="s">
        <v>17</v>
      </c>
      <c r="D33" s="37" t="s">
        <v>18</v>
      </c>
      <c r="E33" s="37">
        <v>60</v>
      </c>
      <c r="F33" s="288">
        <f>INDEX(rgDéclaration_NbDécl,MATCH(tblMatières[[#This Row],[Matière]],rgDéclaration_Matières,0))</f>
        <v>199</v>
      </c>
      <c r="G33" s="287">
        <f>INT(INDEX(rgDéclaration_QtéFinale,MATCH(tblMatières[[#This Row],[Matière]],rgDéclaration_Matières,0)))</f>
        <v>52387877</v>
      </c>
      <c r="H33" s="287">
        <f>tblMatières[[#This Row],[Quantité attendue net (kg)]]/1000</f>
        <v>52387.877</v>
      </c>
      <c r="I33" s="287">
        <f>tblMatières[[#This Row],[Quantité déclarée (tonnes)]]</f>
        <v>52387.877</v>
      </c>
      <c r="J33" s="287">
        <f>tblMatières[[#This Row],[Quantité générée (tonnes)]]*tblMatières[[#This Row],[% récupération]]</f>
        <v>40467.652103728469</v>
      </c>
      <c r="K33" s="287">
        <f>tblMatières[[#This Row],[Quantité générée (tonnes)]]-tblMatières[[#This Row],[Quantité récupérée (tonnes)]]</f>
        <v>11920.224896271531</v>
      </c>
      <c r="L33" s="451">
        <f>INDEX(Caractérisation!$F$7:$F$36,MATCH(tblMatières[[#This Row],[Matière]],Caractérisation!$B$7:$B$36,0))</f>
        <v>0.77246215004529517</v>
      </c>
      <c r="M33" s="488">
        <f>INDEX(Paramètres!$C$48:$C$77,MATCH(tblMatières[[#This Row],[Matière]],Paramètres!$B$48:$B$77,0))</f>
        <v>136.90188685491088</v>
      </c>
      <c r="N33" s="488">
        <f>INDEX(Paramètres!$D$48:$D$77,MATCH(tblMatières[[#This Row],[Matière]],Paramètres!$B$48:$B$77,0))</f>
        <v>-42.518992159558358</v>
      </c>
      <c r="O33" s="290">
        <f>tblMatières[[#This Row],[Coût brut]]-tblMatières[[#This Row],[Revenu brut]]</f>
        <v>179.42087901446925</v>
      </c>
      <c r="P33" s="341">
        <f>INDEX(Paramètres!$E$48:$E$77,MATCH(tblMatières[[#This Row],[Matière]],Paramètres!$B$48:$B$77,0))</f>
        <v>0</v>
      </c>
      <c r="Q33" s="590">
        <v>54262.898999999998</v>
      </c>
      <c r="R33" s="455">
        <v>145.66999999999999</v>
      </c>
    </row>
    <row r="34" spans="2:18">
      <c r="B34" s="37" t="s">
        <v>4</v>
      </c>
      <c r="C34" s="37" t="s">
        <v>17</v>
      </c>
      <c r="D34" s="37" t="s">
        <v>19</v>
      </c>
      <c r="E34" s="37">
        <v>61</v>
      </c>
      <c r="F34" s="288">
        <f>INDEX(rgDéclaration_NbDécl,MATCH(tblMatières[[#This Row],[Matière]],rgDéclaration_Matières,0))</f>
        <v>122</v>
      </c>
      <c r="G34" s="287">
        <f>INT(INDEX(rgDéclaration_QtéFinale,MATCH(tblMatières[[#This Row],[Matière]],rgDéclaration_Matières,0)))</f>
        <v>80574570</v>
      </c>
      <c r="H34" s="287">
        <f>tblMatières[[#This Row],[Quantité attendue net (kg)]]/1000</f>
        <v>80574.570000000007</v>
      </c>
      <c r="I34" s="287">
        <f>tblMatières[[#This Row],[Quantité déclarée (tonnes)]]</f>
        <v>80574.570000000007</v>
      </c>
      <c r="J34" s="287">
        <f>tblMatières[[#This Row],[Quantité générée (tonnes)]]*tblMatières[[#This Row],[% récupération]]</f>
        <v>62240.805581175147</v>
      </c>
      <c r="K34" s="287">
        <f>tblMatières[[#This Row],[Quantité générée (tonnes)]]-tblMatières[[#This Row],[Quantité récupérée (tonnes)]]</f>
        <v>18333.76441882486</v>
      </c>
      <c r="L34" s="451">
        <f>INDEX(Caractérisation!$F$7:$F$36,MATCH(tblMatières[[#This Row],[Matière]],Caractérisation!$B$7:$B$36,0))</f>
        <v>0.77246215004529517</v>
      </c>
      <c r="M34" s="488">
        <f>INDEX(Paramètres!$C$48:$C$77,MATCH(tblMatières[[#This Row],[Matière]],Paramètres!$B$48:$B$77,0))</f>
        <v>136.25083495406378</v>
      </c>
      <c r="N34" s="488">
        <f>INDEX(Paramètres!$D$48:$D$77,MATCH(tblMatières[[#This Row],[Matière]],Paramètres!$B$48:$B$77,0))</f>
        <v>-44.207563273629816</v>
      </c>
      <c r="O34" s="290">
        <f>tblMatières[[#This Row],[Coût brut]]-tblMatières[[#This Row],[Revenu brut]]</f>
        <v>180.45839822769358</v>
      </c>
      <c r="P34" s="341">
        <f>INDEX(Paramètres!$E$48:$E$77,MATCH(tblMatières[[#This Row],[Matière]],Paramètres!$B$48:$B$77,0))</f>
        <v>0</v>
      </c>
      <c r="Q34" s="590">
        <v>82425.142000000007</v>
      </c>
      <c r="R34" s="455">
        <v>141.61000000000001</v>
      </c>
    </row>
    <row r="35" spans="2:18">
      <c r="B35" s="576" t="s">
        <v>40</v>
      </c>
      <c r="C35" s="576"/>
      <c r="D35" s="576"/>
      <c r="E35" s="576"/>
      <c r="F35" s="577">
        <f>SUBTOTAL(109,tblMatières[Nombre déclarations])</f>
        <v>5991</v>
      </c>
      <c r="G35" s="577">
        <f>SUBTOTAL(109,tblMatières[Quantité attendue net (kg)])</f>
        <v>637067773</v>
      </c>
      <c r="H35" s="577">
        <f>SUBTOTAL(109,tblMatières[Quantité déclarée (tonnes)])</f>
        <v>637067.77300000004</v>
      </c>
      <c r="I35" s="577">
        <f>SUBTOTAL(109,tblMatières[Quantité générée (tonnes)])</f>
        <v>637067.77300000004</v>
      </c>
      <c r="J35" s="577">
        <f>SUBTOTAL(109,tblMatières[Quantité récupérée (tonnes)])</f>
        <v>400693.19399743015</v>
      </c>
      <c r="K35" s="577">
        <f>SUBTOTAL(109,tblMatières[Quantité éliminée (t)])</f>
        <v>236374.5790025699</v>
      </c>
      <c r="L35" s="578"/>
      <c r="M35" s="578"/>
      <c r="N35" s="578"/>
      <c r="O35" s="578"/>
      <c r="P35" s="578"/>
      <c r="Q35" s="573"/>
      <c r="R35" s="573"/>
    </row>
    <row r="38" spans="2:18" ht="34.5" customHeight="1">
      <c r="D38" s="467"/>
      <c r="E38" s="467"/>
      <c r="F38" s="467"/>
      <c r="G38" s="467"/>
      <c r="H38" s="467"/>
      <c r="I38" s="467"/>
      <c r="J38" s="467"/>
      <c r="K38" s="467"/>
      <c r="L38" s="467"/>
      <c r="M38" s="467"/>
    </row>
    <row r="39" spans="2:18">
      <c r="D39" s="395"/>
      <c r="E39" s="444"/>
      <c r="F39" s="282"/>
      <c r="G39" s="282"/>
      <c r="H39" s="282"/>
      <c r="I39" s="282"/>
      <c r="J39" s="460"/>
      <c r="K39" s="458"/>
      <c r="L39" s="466"/>
      <c r="M39" s="466"/>
      <c r="Q39" s="456"/>
    </row>
    <row r="40" spans="2:18">
      <c r="D40" s="396"/>
      <c r="E40" s="444"/>
      <c r="F40" s="282"/>
      <c r="G40" s="282"/>
      <c r="H40" s="282"/>
      <c r="I40" s="282"/>
      <c r="J40" s="460"/>
      <c r="K40" s="458"/>
      <c r="L40" s="466"/>
      <c r="M40" s="466"/>
    </row>
    <row r="41" spans="2:18">
      <c r="D41" s="452"/>
      <c r="E41" s="444"/>
      <c r="F41" s="282"/>
      <c r="G41" s="282"/>
      <c r="H41" s="282"/>
      <c r="I41" s="282"/>
      <c r="J41" s="460"/>
      <c r="K41" s="458"/>
      <c r="L41" s="466"/>
      <c r="M41" s="466"/>
    </row>
    <row r="42" spans="2:18">
      <c r="D42" s="452"/>
      <c r="E42" s="444"/>
      <c r="F42" s="282"/>
      <c r="G42" s="282"/>
      <c r="H42" s="282"/>
      <c r="I42" s="282"/>
      <c r="J42" s="460"/>
      <c r="K42" s="458"/>
      <c r="L42" s="466"/>
      <c r="M42" s="466"/>
    </row>
    <row r="43" spans="2:18">
      <c r="D43" s="452"/>
      <c r="E43" s="444"/>
      <c r="F43" s="282"/>
      <c r="G43" s="282"/>
      <c r="H43" s="282"/>
      <c r="I43" s="282"/>
      <c r="J43" s="460"/>
      <c r="K43" s="458"/>
      <c r="L43" s="466"/>
      <c r="M43" s="466"/>
    </row>
    <row r="44" spans="2:18">
      <c r="D44" s="452"/>
      <c r="E44" s="444"/>
      <c r="F44" s="282"/>
      <c r="G44" s="282"/>
      <c r="H44" s="282"/>
      <c r="I44" s="282"/>
      <c r="J44" s="460"/>
      <c r="K44" s="458"/>
      <c r="L44" s="466"/>
      <c r="M44" s="466"/>
    </row>
    <row r="45" spans="2:18">
      <c r="D45" s="452"/>
      <c r="E45" s="444"/>
      <c r="F45" s="282"/>
      <c r="G45" s="282"/>
      <c r="H45" s="282"/>
      <c r="I45" s="282"/>
      <c r="J45" s="460"/>
      <c r="K45" s="458"/>
      <c r="L45" s="466"/>
      <c r="M45" s="466"/>
    </row>
    <row r="46" spans="2:18">
      <c r="D46" s="452"/>
      <c r="E46" s="444"/>
      <c r="F46" s="282"/>
      <c r="G46" s="282"/>
      <c r="H46" s="282"/>
      <c r="I46" s="282"/>
      <c r="J46" s="460"/>
      <c r="K46" s="458"/>
      <c r="L46" s="466"/>
      <c r="M46" s="466"/>
    </row>
    <row r="47" spans="2:18">
      <c r="D47" s="395"/>
      <c r="E47" s="444"/>
      <c r="F47" s="282"/>
      <c r="G47" s="282"/>
      <c r="H47" s="282"/>
      <c r="I47" s="282"/>
      <c r="J47" s="460"/>
      <c r="K47" s="458"/>
      <c r="L47" s="466"/>
      <c r="M47" s="466"/>
    </row>
    <row r="48" spans="2:18">
      <c r="D48" s="396"/>
      <c r="E48" s="444"/>
      <c r="F48" s="282"/>
      <c r="G48" s="282"/>
      <c r="H48" s="282"/>
      <c r="I48" s="282"/>
      <c r="J48" s="460"/>
      <c r="K48" s="458"/>
      <c r="L48" s="466"/>
      <c r="M48" s="466"/>
    </row>
    <row r="49" spans="4:13">
      <c r="D49" s="452"/>
      <c r="E49" s="444"/>
      <c r="F49" s="282"/>
      <c r="G49" s="282"/>
      <c r="H49" s="282"/>
      <c r="I49" s="282"/>
      <c r="J49" s="460"/>
      <c r="K49" s="458"/>
      <c r="L49" s="466"/>
      <c r="M49" s="466"/>
    </row>
    <row r="50" spans="4:13">
      <c r="D50" s="452"/>
      <c r="E50" s="444"/>
      <c r="F50" s="282"/>
      <c r="G50" s="282"/>
      <c r="H50" s="282"/>
      <c r="I50" s="282"/>
      <c r="J50" s="460"/>
      <c r="K50" s="458"/>
      <c r="L50" s="466"/>
      <c r="M50" s="466"/>
    </row>
    <row r="51" spans="4:13">
      <c r="D51" s="452"/>
      <c r="E51" s="444"/>
      <c r="F51" s="282"/>
      <c r="G51" s="282"/>
      <c r="H51" s="282"/>
      <c r="I51" s="282"/>
      <c r="J51" s="460"/>
      <c r="K51" s="458"/>
      <c r="L51" s="466"/>
      <c r="M51" s="466"/>
    </row>
    <row r="52" spans="4:13">
      <c r="D52" s="452"/>
      <c r="E52" s="444"/>
      <c r="F52" s="282"/>
      <c r="G52" s="282"/>
      <c r="H52" s="282"/>
      <c r="I52" s="282"/>
      <c r="J52" s="460"/>
      <c r="K52" s="458"/>
      <c r="L52" s="466"/>
      <c r="M52" s="466"/>
    </row>
    <row r="53" spans="4:13">
      <c r="D53" s="452"/>
      <c r="E53" s="444"/>
      <c r="F53" s="282"/>
      <c r="G53" s="282"/>
      <c r="H53" s="282"/>
      <c r="I53" s="282"/>
      <c r="J53" s="460"/>
      <c r="K53" s="458"/>
      <c r="L53" s="466"/>
      <c r="M53" s="466"/>
    </row>
    <row r="54" spans="4:13">
      <c r="D54" s="452"/>
      <c r="E54" s="444"/>
      <c r="F54" s="282"/>
      <c r="G54" s="282"/>
      <c r="H54" s="282"/>
      <c r="I54" s="282"/>
      <c r="J54" s="460"/>
      <c r="K54" s="458"/>
      <c r="L54" s="466"/>
      <c r="M54" s="466"/>
    </row>
    <row r="55" spans="4:13">
      <c r="D55" s="452"/>
      <c r="E55" s="444"/>
      <c r="F55" s="282"/>
      <c r="G55" s="282"/>
      <c r="H55" s="282"/>
      <c r="I55" s="282"/>
      <c r="J55" s="460"/>
      <c r="K55" s="458"/>
      <c r="L55" s="466"/>
      <c r="M55" s="466"/>
    </row>
    <row r="56" spans="4:13">
      <c r="D56" s="396"/>
      <c r="E56" s="444"/>
      <c r="F56" s="282"/>
      <c r="G56" s="282"/>
      <c r="H56" s="282"/>
      <c r="I56" s="282"/>
      <c r="J56" s="460"/>
      <c r="K56" s="458"/>
      <c r="L56" s="466"/>
      <c r="M56" s="466"/>
    </row>
    <row r="57" spans="4:13">
      <c r="D57" s="452"/>
      <c r="E57" s="444"/>
      <c r="F57" s="282"/>
      <c r="G57" s="282"/>
      <c r="H57" s="282"/>
      <c r="I57" s="282"/>
      <c r="J57" s="460"/>
      <c r="K57" s="458"/>
      <c r="L57" s="466"/>
      <c r="M57" s="466"/>
    </row>
    <row r="58" spans="4:13">
      <c r="D58" s="452"/>
      <c r="E58" s="444"/>
      <c r="F58" s="282"/>
      <c r="G58" s="282"/>
      <c r="H58" s="282"/>
      <c r="I58" s="282"/>
      <c r="J58" s="460"/>
      <c r="K58" s="458"/>
      <c r="L58" s="466"/>
      <c r="M58" s="466"/>
    </row>
    <row r="59" spans="4:13">
      <c r="D59" s="452"/>
      <c r="E59" s="444"/>
      <c r="F59" s="282"/>
      <c r="G59" s="282"/>
      <c r="H59" s="282"/>
      <c r="I59" s="282"/>
      <c r="J59" s="460"/>
      <c r="K59" s="458"/>
      <c r="L59" s="466"/>
      <c r="M59" s="466"/>
    </row>
    <row r="60" spans="4:13">
      <c r="D60" s="452"/>
      <c r="E60" s="444"/>
      <c r="F60" s="282"/>
      <c r="G60" s="282"/>
      <c r="H60" s="282"/>
      <c r="I60" s="282"/>
      <c r="J60" s="460"/>
      <c r="K60" s="458"/>
      <c r="L60" s="466"/>
      <c r="M60" s="466"/>
    </row>
    <row r="61" spans="4:13">
      <c r="D61" s="452"/>
      <c r="E61" s="444"/>
      <c r="F61" s="282"/>
      <c r="G61" s="282"/>
      <c r="H61" s="282"/>
      <c r="I61" s="282"/>
      <c r="J61" s="460"/>
      <c r="K61" s="458"/>
      <c r="L61" s="466"/>
      <c r="M61" s="466"/>
    </row>
    <row r="62" spans="4:13">
      <c r="D62" s="452"/>
      <c r="E62" s="444"/>
      <c r="F62" s="282"/>
      <c r="G62" s="282"/>
      <c r="H62" s="282"/>
      <c r="I62" s="282"/>
      <c r="J62" s="460"/>
      <c r="K62" s="458"/>
      <c r="L62" s="466"/>
      <c r="M62" s="466"/>
    </row>
    <row r="63" spans="4:13">
      <c r="D63" s="452"/>
      <c r="E63" s="444"/>
      <c r="F63" s="282"/>
      <c r="G63" s="282"/>
      <c r="H63" s="282"/>
      <c r="I63" s="282"/>
      <c r="J63" s="460"/>
      <c r="K63" s="458"/>
      <c r="L63" s="466"/>
      <c r="M63" s="466"/>
    </row>
    <row r="64" spans="4:13">
      <c r="D64" s="452"/>
      <c r="E64" s="444"/>
      <c r="F64" s="282"/>
      <c r="G64" s="282"/>
      <c r="H64" s="282"/>
      <c r="I64" s="282"/>
      <c r="J64" s="460"/>
      <c r="K64" s="458"/>
      <c r="L64" s="466"/>
      <c r="M64" s="466"/>
    </row>
    <row r="65" spans="4:13">
      <c r="D65" s="452"/>
      <c r="E65" s="444"/>
      <c r="F65" s="282"/>
      <c r="G65" s="282"/>
      <c r="H65" s="282"/>
      <c r="I65" s="282"/>
      <c r="J65" s="460"/>
      <c r="K65" s="458"/>
      <c r="L65" s="466"/>
      <c r="M65" s="466"/>
    </row>
    <row r="66" spans="4:13">
      <c r="D66" s="452"/>
      <c r="E66" s="444"/>
      <c r="F66" s="282"/>
      <c r="G66" s="282"/>
      <c r="H66" s="282"/>
      <c r="I66" s="282"/>
      <c r="J66" s="460"/>
      <c r="K66" s="458"/>
      <c r="L66" s="466"/>
      <c r="M66" s="466"/>
    </row>
    <row r="67" spans="4:13">
      <c r="D67" s="452"/>
      <c r="E67" s="444"/>
      <c r="F67" s="282"/>
      <c r="G67" s="282"/>
      <c r="H67" s="282"/>
      <c r="I67" s="282"/>
      <c r="J67" s="460"/>
      <c r="K67" s="458"/>
      <c r="L67" s="466"/>
      <c r="M67" s="466"/>
    </row>
    <row r="68" spans="4:13">
      <c r="D68" s="396"/>
      <c r="E68" s="444"/>
      <c r="F68" s="282"/>
      <c r="G68" s="282"/>
      <c r="H68" s="282"/>
      <c r="I68" s="282"/>
      <c r="J68" s="460"/>
      <c r="K68" s="458"/>
      <c r="L68" s="466"/>
      <c r="M68" s="466"/>
    </row>
    <row r="69" spans="4:13">
      <c r="D69" s="452"/>
      <c r="E69" s="444"/>
      <c r="F69" s="282"/>
      <c r="G69" s="282"/>
      <c r="H69" s="282"/>
      <c r="I69" s="282"/>
      <c r="J69" s="460"/>
      <c r="K69" s="458"/>
      <c r="L69" s="466"/>
      <c r="M69" s="466"/>
    </row>
    <row r="70" spans="4:13">
      <c r="D70" s="452"/>
      <c r="E70" s="444"/>
      <c r="F70" s="282"/>
      <c r="G70" s="282"/>
      <c r="H70" s="282"/>
      <c r="I70" s="282"/>
      <c r="J70" s="460"/>
      <c r="K70" s="458"/>
      <c r="L70" s="466"/>
      <c r="M70" s="466"/>
    </row>
    <row r="71" spans="4:13">
      <c r="D71" s="396"/>
      <c r="E71" s="444"/>
      <c r="F71" s="282"/>
      <c r="G71" s="282"/>
      <c r="H71" s="282"/>
      <c r="I71" s="282"/>
      <c r="J71" s="460"/>
      <c r="K71" s="458"/>
      <c r="L71" s="466"/>
      <c r="M71" s="466"/>
    </row>
    <row r="72" spans="4:13">
      <c r="D72" s="452"/>
      <c r="E72" s="444"/>
      <c r="F72" s="282"/>
      <c r="G72" s="282"/>
      <c r="H72" s="282"/>
      <c r="I72" s="282"/>
      <c r="J72" s="460"/>
      <c r="K72" s="458"/>
      <c r="L72" s="466"/>
      <c r="M72" s="466"/>
    </row>
    <row r="73" spans="4:13">
      <c r="D73" s="452"/>
      <c r="E73" s="444"/>
      <c r="F73" s="282"/>
      <c r="G73" s="282"/>
      <c r="H73" s="282"/>
      <c r="I73" s="282"/>
      <c r="J73" s="460"/>
      <c r="K73" s="458"/>
      <c r="L73" s="466"/>
      <c r="M73" s="466"/>
    </row>
    <row r="74" spans="4:13">
      <c r="D74" s="396"/>
      <c r="E74" s="444"/>
      <c r="F74" s="282"/>
      <c r="G74" s="282"/>
      <c r="H74" s="282"/>
      <c r="I74" s="282"/>
      <c r="J74" s="460"/>
      <c r="K74" s="458"/>
      <c r="L74" s="466"/>
      <c r="M74" s="466"/>
    </row>
    <row r="75" spans="4:13">
      <c r="D75" s="452"/>
      <c r="E75" s="444"/>
      <c r="F75" s="282"/>
      <c r="G75" s="282"/>
      <c r="H75" s="282"/>
      <c r="I75" s="282"/>
      <c r="J75" s="460"/>
      <c r="K75" s="458"/>
      <c r="L75" s="466"/>
      <c r="M75" s="466"/>
    </row>
    <row r="76" spans="4:13">
      <c r="D76" s="452"/>
      <c r="E76" s="444"/>
      <c r="F76" s="282"/>
      <c r="G76" s="282"/>
      <c r="H76" s="282"/>
      <c r="I76" s="282"/>
      <c r="J76" s="460"/>
      <c r="K76" s="458"/>
      <c r="L76" s="466"/>
      <c r="M76" s="466"/>
    </row>
    <row r="77" spans="4:13">
      <c r="D77" s="395"/>
      <c r="E77" s="444"/>
      <c r="F77" s="282"/>
      <c r="G77" s="282"/>
      <c r="H77" s="282"/>
      <c r="I77" s="282"/>
      <c r="J77" s="460"/>
      <c r="K77" s="458"/>
      <c r="L77" s="466"/>
      <c r="M77" s="466"/>
    </row>
    <row r="84" spans="4:5">
      <c r="D84" s="395"/>
      <c r="E84" s="459"/>
    </row>
    <row r="85" spans="4:5">
      <c r="D85" s="395"/>
      <c r="E85" s="459"/>
    </row>
    <row r="86" spans="4:5">
      <c r="D86" s="395"/>
      <c r="E86" s="459"/>
    </row>
    <row r="87" spans="4:5">
      <c r="D87" s="395"/>
      <c r="E87" s="459"/>
    </row>
    <row r="88" spans="4:5">
      <c r="D88" s="395"/>
      <c r="E88" s="459"/>
    </row>
    <row r="89" spans="4:5">
      <c r="D89" s="395"/>
      <c r="E89" s="459"/>
    </row>
  </sheetData>
  <sheetProtection password="82A0" sheet="1" objects="1" scenarios="1"/>
  <pageMargins left="0.25" right="0.25" top="0.75" bottom="0.75" header="0.3" footer="0.3"/>
  <pageSetup paperSize="5" scale="48"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4"/>
  <sheetViews>
    <sheetView showGridLines="0" zoomScale="80" zoomScaleNormal="80" zoomScaleSheetLayoutView="70" workbookViewId="0">
      <pane xSplit="2" ySplit="7" topLeftCell="C8" activePane="bottomRight" state="frozen"/>
      <selection activeCell="J62" sqref="J62"/>
      <selection pane="topRight" activeCell="J62" sqref="J62"/>
      <selection pane="bottomLeft" activeCell="J62" sqref="J62"/>
      <selection pane="bottomRight" activeCell="J31" sqref="J31"/>
    </sheetView>
  </sheetViews>
  <sheetFormatPr baseColWidth="10" defaultColWidth="9.109375" defaultRowHeight="14.4"/>
  <cols>
    <col min="1" max="1" width="25.44140625" customWidth="1"/>
    <col min="2" max="2" width="50.88671875" bestFit="1" customWidth="1"/>
    <col min="3" max="3" width="17.6640625" customWidth="1"/>
    <col min="4" max="4" width="17.109375" customWidth="1"/>
    <col min="5" max="5" width="16.44140625" customWidth="1"/>
    <col min="6" max="6" width="17.6640625" customWidth="1"/>
    <col min="7" max="7" width="19.44140625" customWidth="1"/>
    <col min="8" max="8" width="28.5546875" customWidth="1"/>
  </cols>
  <sheetData>
    <row r="1" spans="1:10" s="159" customFormat="1" ht="15" thickBot="1">
      <c r="A1" s="4" t="s">
        <v>58</v>
      </c>
      <c r="B1" s="36"/>
    </row>
    <row r="2" spans="1:10" ht="6.75" customHeight="1" thickBot="1">
      <c r="A2" s="35"/>
      <c r="B2" s="35"/>
    </row>
    <row r="3" spans="1:10" ht="18" thickBot="1">
      <c r="A3" s="93" t="str">
        <f>Paramètres!B4</f>
        <v>Tarif</v>
      </c>
      <c r="B3" s="245">
        <f>AnnéeTarif</f>
        <v>2016</v>
      </c>
    </row>
    <row r="4" spans="1:10" ht="18" thickBot="1">
      <c r="A4" s="93" t="str">
        <f>Paramètres!B5</f>
        <v>Scénario</v>
      </c>
      <c r="B4" s="245" t="str">
        <f>Paramètres!C5</f>
        <v>Publication Juillet 2016</v>
      </c>
    </row>
    <row r="5" spans="1:10" ht="18" thickBot="1">
      <c r="A5" s="93" t="str">
        <f>Paramètres!B6</f>
        <v>Année de référence</v>
      </c>
      <c r="B5" s="94">
        <f>AnnéeRéf</f>
        <v>2015</v>
      </c>
      <c r="G5" s="37"/>
      <c r="H5" s="37"/>
    </row>
    <row r="6" spans="1:10" ht="15.75" customHeight="1">
      <c r="A6" s="105"/>
      <c r="B6" s="105"/>
      <c r="C6" s="654"/>
      <c r="D6" s="655"/>
      <c r="E6" s="655"/>
      <c r="F6" s="656"/>
      <c r="G6" s="637" t="s">
        <v>58</v>
      </c>
      <c r="H6" s="638"/>
    </row>
    <row r="7" spans="1:10" ht="42.6" thickBot="1">
      <c r="A7" s="272" t="str">
        <f>'Sommaire exécutif'!A7</f>
        <v>CATÉGORIE</v>
      </c>
      <c r="B7" s="9" t="str">
        <f>'Sommaire exécutif'!B7</f>
        <v>Matière</v>
      </c>
      <c r="C7" s="44" t="str">
        <f>'Sommaire exécutif'!D7</f>
        <v xml:space="preserve">Quantité générée
(tonnes) </v>
      </c>
      <c r="D7" s="44" t="str">
        <f>'Sommaire exécutif'!E7</f>
        <v xml:space="preserve">Quantité récupérée
(tonnes) </v>
      </c>
      <c r="E7" s="44" t="str">
        <f>'Sommaire exécutif'!$F$7</f>
        <v xml:space="preserve">Quantité éliminée
(tonnes) </v>
      </c>
      <c r="F7" s="47" t="str">
        <f>'Sommaire exécutif'!$C$7</f>
        <v>Quantité déclarée 
(tonnes)</v>
      </c>
      <c r="G7" s="170" t="s">
        <v>73</v>
      </c>
      <c r="H7" s="170" t="s">
        <v>230</v>
      </c>
    </row>
    <row r="8" spans="1:10" ht="15" thickBot="1">
      <c r="A8" s="99"/>
      <c r="B8" s="69" t="s">
        <v>68</v>
      </c>
      <c r="C8" s="70"/>
      <c r="D8" s="71"/>
      <c r="E8" s="71"/>
      <c r="F8" s="72"/>
      <c r="G8" s="149">
        <f>Facteur1</f>
        <v>0.4</v>
      </c>
      <c r="H8" s="150"/>
    </row>
    <row r="9" spans="1:10">
      <c r="A9" s="43" t="str">
        <f>'Sommaire exécutif'!$A8</f>
        <v>IMPRIMÉS</v>
      </c>
      <c r="B9" s="11"/>
      <c r="C9" s="104"/>
      <c r="D9" s="79"/>
      <c r="E9" s="79"/>
      <c r="F9" s="103"/>
      <c r="G9" s="68"/>
      <c r="H9" s="111"/>
    </row>
    <row r="10" spans="1:10">
      <c r="A10" s="63"/>
      <c r="B10" s="37" t="str">
        <f>INDEX(ListeMatières,1)</f>
        <v>Encarts et circulaires imprimés sur du papier journal</v>
      </c>
      <c r="C10" s="58">
        <f>INDEX(tblMatières[Quantité générée (tonnes)],MATCH($B10,tblMatières[Matière],0))</f>
        <v>97857.077999999994</v>
      </c>
      <c r="D10" s="26">
        <f>INDEX(tblMatières[Quantité récupérée (tonnes)],MATCH($B10,tblMatières[Matière],0))</f>
        <v>83603.981319046245</v>
      </c>
      <c r="E10" s="26">
        <f t="shared" ref="E10:E15" si="0">C10-D10</f>
        <v>14253.096680953749</v>
      </c>
      <c r="F10" s="48">
        <f>INDEX(tblMatières[Quantité déclarée (tonnes)],MATCH($B10,tblMatières[Matière],0))</f>
        <v>97857.077999999994</v>
      </c>
      <c r="G10" s="75">
        <f t="shared" ref="G10:G15" si="1">E10/$E$16</f>
        <v>0.44331532977558424</v>
      </c>
      <c r="H10" s="304">
        <f t="shared" ref="H10:H15" si="2">G10*$H$53</f>
        <v>5399522.7215078669</v>
      </c>
      <c r="J10" s="462"/>
    </row>
    <row r="11" spans="1:10">
      <c r="A11" s="38"/>
      <c r="B11" s="37" t="str">
        <f>INDEX(ListeMatières,2)</f>
        <v>Catalogues et publications</v>
      </c>
      <c r="C11" s="58">
        <f>INDEX(tblMatières[Quantité générée (tonnes)],MATCH($B11,tblMatières[Matière],0))</f>
        <v>16849.689999999999</v>
      </c>
      <c r="D11" s="26">
        <f>INDEX(tblMatières[Quantité récupérée (tonnes)],MATCH($B11,tblMatières[Matière],0))</f>
        <v>13513.311672303862</v>
      </c>
      <c r="E11" s="26">
        <f t="shared" si="0"/>
        <v>3336.3783276961367</v>
      </c>
      <c r="F11" s="48">
        <f>INDEX(tblMatières[Quantité déclarée (tonnes)],MATCH($B11,tblMatières[Matière],0))</f>
        <v>16849.689999999999</v>
      </c>
      <c r="G11" s="75">
        <f t="shared" si="1"/>
        <v>0.10377167093626653</v>
      </c>
      <c r="H11" s="304">
        <f t="shared" si="2"/>
        <v>1263925.3764422121</v>
      </c>
      <c r="J11" s="462"/>
    </row>
    <row r="12" spans="1:10">
      <c r="A12" s="38"/>
      <c r="B12" s="37" t="str">
        <f>INDEX(ListeMatières,3)</f>
        <v>Magazines</v>
      </c>
      <c r="C12" s="58">
        <f>INDEX(tblMatières[Quantité générée (tonnes)],MATCH($B12,tblMatières[Matière],0))</f>
        <v>10816.571</v>
      </c>
      <c r="D12" s="26">
        <f>INDEX(tblMatières[Quantité récupérée (tonnes)],MATCH($B12,tblMatières[Matière],0))</f>
        <v>9110.2160408458858</v>
      </c>
      <c r="E12" s="26">
        <f t="shared" si="0"/>
        <v>1706.3549591541141</v>
      </c>
      <c r="F12" s="48">
        <f>INDEX(tblMatières[Quantité déclarée (tonnes)],MATCH($B12,tblMatières[Matière],0))</f>
        <v>10816.571</v>
      </c>
      <c r="G12" s="75">
        <f t="shared" si="1"/>
        <v>5.3072909583392475E-2</v>
      </c>
      <c r="H12" s="304">
        <f t="shared" si="2"/>
        <v>646421.0956501941</v>
      </c>
      <c r="J12" s="462"/>
    </row>
    <row r="13" spans="1:10">
      <c r="A13" s="38"/>
      <c r="B13" s="37" t="str">
        <f>INDEX(ListeMatières,4)</f>
        <v>Annuaires téléphoniques</v>
      </c>
      <c r="C13" s="58">
        <f>INDEX(tblMatières[Quantité générée (tonnes)],MATCH($B13,tblMatières[Matière],0))</f>
        <v>1956.9110000000001</v>
      </c>
      <c r="D13" s="26">
        <f>INDEX(tblMatières[Quantité récupérée (tonnes)],MATCH($B13,tblMatières[Matière],0))</f>
        <v>1761.6059678635033</v>
      </c>
      <c r="E13" s="26">
        <f t="shared" si="0"/>
        <v>195.30503213649672</v>
      </c>
      <c r="F13" s="48">
        <f>INDEX(tblMatières[Quantité déclarée (tonnes)],MATCH($B13,tblMatières[Matière],0))</f>
        <v>1956.9110000000001</v>
      </c>
      <c r="G13" s="75">
        <f t="shared" si="1"/>
        <v>6.0745897306737759E-3</v>
      </c>
      <c r="H13" s="304">
        <f t="shared" si="2"/>
        <v>73987.708232908204</v>
      </c>
      <c r="J13" s="462"/>
    </row>
    <row r="14" spans="1:10">
      <c r="A14" s="38"/>
      <c r="B14" s="37" t="str">
        <f>INDEX(ListeMatières,5)</f>
        <v>Papier à usage général</v>
      </c>
      <c r="C14" s="58">
        <f>INDEX(tblMatières[Quantité générée (tonnes)],MATCH($B14,tblMatières[Matière],0))</f>
        <v>4514.6930000000002</v>
      </c>
      <c r="D14" s="26">
        <f>INDEX(tblMatières[Quantité récupérée (tonnes)],MATCH($B14,tblMatières[Matière],0))</f>
        <v>2990.2667386915787</v>
      </c>
      <c r="E14" s="26">
        <f t="shared" si="0"/>
        <v>1524.4262613084215</v>
      </c>
      <c r="F14" s="48">
        <f>INDEX(tblMatières[Quantité déclarée (tonnes)],MATCH($B14,tblMatières[Matière],0))</f>
        <v>4514.6930000000002</v>
      </c>
      <c r="G14" s="75">
        <f t="shared" si="1"/>
        <v>4.741436516413796E-2</v>
      </c>
      <c r="H14" s="304">
        <f t="shared" si="2"/>
        <v>577500.7648827174</v>
      </c>
      <c r="J14" s="462"/>
    </row>
    <row r="15" spans="1:10">
      <c r="A15" s="38"/>
      <c r="B15" s="37" t="str">
        <f>INDEX(ListeMatières,6)</f>
        <v>Autres imprimés</v>
      </c>
      <c r="C15" s="58">
        <f>INDEX(tblMatières[Quantité générée (tonnes)],MATCH($B15,tblMatières[Matière],0))</f>
        <v>26023.886999999999</v>
      </c>
      <c r="D15" s="26">
        <f>INDEX(tblMatières[Quantité récupérée (tonnes)],MATCH($B15,tblMatières[Matière],0))</f>
        <v>14888.300480798885</v>
      </c>
      <c r="E15" s="26">
        <f t="shared" si="0"/>
        <v>11135.586519201113</v>
      </c>
      <c r="F15" s="48">
        <f>INDEX(tblMatières[Quantité déclarée (tonnes)],MATCH($B15,tblMatières[Matière],0))</f>
        <v>26023.886999999999</v>
      </c>
      <c r="G15" s="75">
        <f t="shared" si="1"/>
        <v>0.346351134809945</v>
      </c>
      <c r="H15" s="304">
        <f t="shared" si="2"/>
        <v>4218511.5118239494</v>
      </c>
      <c r="J15" s="462"/>
    </row>
    <row r="16" spans="1:10" ht="15" thickBot="1">
      <c r="A16" s="55" t="str">
        <f>'Sommaire exécutif'!$A15</f>
        <v>IMPRIMÉS TOTAL</v>
      </c>
      <c r="B16" s="20"/>
      <c r="C16" s="463">
        <f t="shared" ref="C16:E16" si="3">SUBTOTAL(9,C10:C15)</f>
        <v>158018.82999999999</v>
      </c>
      <c r="D16" s="463">
        <f t="shared" si="3"/>
        <v>125867.68221954998</v>
      </c>
      <c r="E16" s="463">
        <f t="shared" si="3"/>
        <v>32151.147780450032</v>
      </c>
      <c r="F16" s="28">
        <f>SUBTOTAL(9,F10:F15)</f>
        <v>158018.82999999999</v>
      </c>
      <c r="G16" s="90">
        <f t="shared" ref="G16:H16" si="4">SUBTOTAL(9,G10:G15)</f>
        <v>1</v>
      </c>
      <c r="H16" s="305">
        <f t="shared" si="4"/>
        <v>12179869.178539848</v>
      </c>
    </row>
    <row r="17" spans="1:10">
      <c r="A17" s="38"/>
      <c r="B17" s="35"/>
      <c r="C17" s="38"/>
      <c r="D17" s="35"/>
      <c r="E17" s="35"/>
      <c r="F17" s="39"/>
      <c r="G17" s="67"/>
      <c r="H17" s="303"/>
    </row>
    <row r="18" spans="1:10">
      <c r="A18" s="43" t="str">
        <f>'Sommaire exécutif'!$A17</f>
        <v>CONTENANTS ET EMBALLAGES</v>
      </c>
      <c r="B18" s="11"/>
      <c r="C18" s="34"/>
      <c r="D18" s="11"/>
      <c r="E18" s="11"/>
      <c r="F18" s="45"/>
      <c r="G18" s="68"/>
      <c r="H18" s="310"/>
    </row>
    <row r="19" spans="1:10">
      <c r="A19" s="46" t="str">
        <f>'Sommaire exécutif'!$A18</f>
        <v>Papier et carton</v>
      </c>
      <c r="B19" s="37" t="str">
        <f>INDEX(ListeMatières,7)</f>
        <v>Carton ondulé</v>
      </c>
      <c r="C19" s="58">
        <f>INDEX(tblMatières[Quantité générée (tonnes)],MATCH($B19,tblMatières[Matière],0))</f>
        <v>56835.883000000002</v>
      </c>
      <c r="D19" s="26">
        <f>INDEX(tblMatières[Quantité récupérée (tonnes)],MATCH($B19,tblMatières[Matière],0))</f>
        <v>40298.230838201678</v>
      </c>
      <c r="E19" s="26">
        <f t="shared" ref="E19:E25" si="5">C19-D19</f>
        <v>16537.652161798324</v>
      </c>
      <c r="F19" s="48">
        <f>INDEX(tblMatières[Quantité déclarée (tonnes)],MATCH($B19,tblMatières[Matière],0))</f>
        <v>56835.883000000002</v>
      </c>
      <c r="G19" s="102">
        <f t="shared" ref="G19:G25" si="6">E19/$E$48</f>
        <v>8.0978230866229309E-2</v>
      </c>
      <c r="H19" s="304">
        <f t="shared" ref="H19:H25" si="7">G19*$H$54</f>
        <v>3655426.606645023</v>
      </c>
      <c r="J19" s="462"/>
    </row>
    <row r="20" spans="1:10">
      <c r="A20" s="46"/>
      <c r="B20" s="37" t="str">
        <f>INDEX(ListeMatières,8)</f>
        <v>Sacs de papier kraft</v>
      </c>
      <c r="C20" s="58">
        <f>INDEX(tblMatières[Quantité générée (tonnes)],MATCH($B20,tblMatières[Matière],0))</f>
        <v>2779.5329999999999</v>
      </c>
      <c r="D20" s="26">
        <f>INDEX(tblMatières[Quantité récupérée (tonnes)],MATCH($B20,tblMatières[Matière],0))</f>
        <v>954.88002661803682</v>
      </c>
      <c r="E20" s="26">
        <f t="shared" si="5"/>
        <v>1824.652973381963</v>
      </c>
      <c r="F20" s="48">
        <f>INDEX(tblMatières[Quantité déclarée (tonnes)],MATCH($B20,tblMatières[Matière],0))</f>
        <v>2779.5329999999999</v>
      </c>
      <c r="G20" s="75">
        <f t="shared" si="6"/>
        <v>8.9345916992130698E-3</v>
      </c>
      <c r="H20" s="304">
        <f t="shared" si="7"/>
        <v>403315.11157319503</v>
      </c>
      <c r="J20" s="462"/>
    </row>
    <row r="21" spans="1:10">
      <c r="A21" s="46"/>
      <c r="B21" s="37" t="str">
        <f>INDEX(ListeMatières,9)</f>
        <v>Emballages de papier kraft</v>
      </c>
      <c r="C21" s="58">
        <f>INDEX(tblMatières[Quantité générée (tonnes)],MATCH($B21,tblMatières[Matière],0))</f>
        <v>311.67700000000002</v>
      </c>
      <c r="D21" s="26">
        <f>INDEX(tblMatières[Quantité récupérée (tonnes)],MATCH($B21,tblMatières[Matière],0))</f>
        <v>99.135800518476543</v>
      </c>
      <c r="E21" s="26">
        <f t="shared" si="5"/>
        <v>212.54119948152348</v>
      </c>
      <c r="F21" s="48">
        <f>INDEX(tblMatières[Quantité déclarée (tonnes)],MATCH($B21,tblMatières[Matière],0))</f>
        <v>311.67700000000002</v>
      </c>
      <c r="G21" s="75">
        <f t="shared" si="6"/>
        <v>1.040728765595741E-3</v>
      </c>
      <c r="H21" s="304">
        <f t="shared" si="7"/>
        <v>46979.386674228139</v>
      </c>
      <c r="J21" s="462"/>
    </row>
    <row r="22" spans="1:10">
      <c r="A22" s="46"/>
      <c r="B22" s="37" t="str">
        <f>INDEX(ListeMatières,10)</f>
        <v>Carton plat et autres emballages de papier</v>
      </c>
      <c r="C22" s="58">
        <f>INDEX(tblMatières[Quantité générée (tonnes)],MATCH($B22,tblMatières[Matière],0))</f>
        <v>87303.759000000005</v>
      </c>
      <c r="D22" s="26">
        <f>INDEX(tblMatières[Quantité récupérée (tonnes)],MATCH($B22,tblMatières[Matière],0))</f>
        <v>49237.634927102714</v>
      </c>
      <c r="E22" s="26">
        <f t="shared" si="5"/>
        <v>38066.124072897292</v>
      </c>
      <c r="F22" s="48">
        <f>INDEX(tblMatières[Quantité déclarée (tonnes)],MATCH($B22,tblMatières[Matière],0))</f>
        <v>87303.759000000005</v>
      </c>
      <c r="G22" s="75">
        <f t="shared" si="6"/>
        <v>0.18639449863857874</v>
      </c>
      <c r="H22" s="304">
        <f t="shared" si="7"/>
        <v>8414007.1024923697</v>
      </c>
      <c r="J22" s="462"/>
    </row>
    <row r="23" spans="1:10">
      <c r="A23" s="46"/>
      <c r="B23" s="37" t="str">
        <f>INDEX(ListeMatières,11)</f>
        <v>Contenants à pignon</v>
      </c>
      <c r="C23" s="58">
        <f>INDEX(tblMatières[Quantité générée (tonnes)],MATCH($B23,tblMatières[Matière],0))</f>
        <v>12195.004999999999</v>
      </c>
      <c r="D23" s="26">
        <f>INDEX(tblMatières[Quantité récupérée (tonnes)],MATCH($B23,tblMatières[Matière],0))</f>
        <v>8372.0581397423357</v>
      </c>
      <c r="E23" s="26">
        <f t="shared" si="5"/>
        <v>3822.9468602576635</v>
      </c>
      <c r="F23" s="48">
        <f>INDEX(tblMatières[Quantité déclarée (tonnes)],MATCH($B23,tblMatières[Matière],0))</f>
        <v>12195.004999999999</v>
      </c>
      <c r="G23" s="75">
        <f t="shared" si="6"/>
        <v>1.8719433110002476E-2</v>
      </c>
      <c r="H23" s="304">
        <f t="shared" si="7"/>
        <v>845011.22239448002</v>
      </c>
      <c r="J23" s="462"/>
    </row>
    <row r="24" spans="1:10">
      <c r="A24" s="46"/>
      <c r="B24" s="37" t="str">
        <f>INDEX(ListeMatières,12)</f>
        <v>Laminés de papier</v>
      </c>
      <c r="C24" s="58">
        <f>INDEX(tblMatières[Quantité générée (tonnes)],MATCH($B24,tblMatières[Matière],0))</f>
        <v>12539.928</v>
      </c>
      <c r="D24" s="26">
        <f>INDEX(tblMatières[Quantité récupérée (tonnes)],MATCH($B24,tblMatières[Matière],0))</f>
        <v>3387.8210957870429</v>
      </c>
      <c r="E24" s="26">
        <f t="shared" si="5"/>
        <v>9152.1069042129566</v>
      </c>
      <c r="F24" s="48">
        <f>INDEX(tblMatières[Quantité déclarée (tonnes)],MATCH($B24,tblMatières[Matière],0))</f>
        <v>12539.928</v>
      </c>
      <c r="G24" s="75">
        <f t="shared" si="6"/>
        <v>4.481418635190218E-2</v>
      </c>
      <c r="H24" s="304">
        <f t="shared" si="7"/>
        <v>2022950.7040787665</v>
      </c>
      <c r="J24" s="462"/>
    </row>
    <row r="25" spans="1:10">
      <c r="A25" s="46"/>
      <c r="B25" s="37" t="str">
        <f>INDEX(ListeMatières,13)</f>
        <v>Contenants aseptiques</v>
      </c>
      <c r="C25" s="58">
        <f>INDEX(tblMatières[Quantité générée (tonnes)],MATCH($B25,tblMatières[Matière],0))</f>
        <v>6206.049</v>
      </c>
      <c r="D25" s="26">
        <f>INDEX(tblMatières[Quantité récupérée (tonnes)],MATCH($B25,tblMatières[Matière],0))</f>
        <v>3243.8457246695884</v>
      </c>
      <c r="E25" s="26">
        <f t="shared" si="5"/>
        <v>2962.2032753304115</v>
      </c>
      <c r="F25" s="48">
        <f>INDEX(tblMatières[Quantité déclarée (tonnes)],MATCH($B25,tblMatières[Matière],0))</f>
        <v>6206.049</v>
      </c>
      <c r="G25" s="75">
        <f t="shared" si="6"/>
        <v>1.4504717982671764E-2</v>
      </c>
      <c r="H25" s="304">
        <f t="shared" si="7"/>
        <v>654755.37645824801</v>
      </c>
      <c r="J25" s="462"/>
    </row>
    <row r="26" spans="1:10">
      <c r="A26" s="43" t="str">
        <f>'Sommaire exécutif'!$A25</f>
        <v>Papier et carton TOTAL</v>
      </c>
      <c r="B26" s="10"/>
      <c r="C26" s="60">
        <f t="shared" ref="C26:E26" si="8">SUBTOTAL(9,C19:C25)</f>
        <v>178171.83400000003</v>
      </c>
      <c r="D26" s="22">
        <f t="shared" si="8"/>
        <v>105593.60655263987</v>
      </c>
      <c r="E26" s="22">
        <f t="shared" si="8"/>
        <v>72578.227447360128</v>
      </c>
      <c r="F26" s="29">
        <f>SUBTOTAL(9,F19:F25)</f>
        <v>178171.83400000003</v>
      </c>
      <c r="G26" s="87">
        <f t="shared" ref="G26:H26" si="9">SUBTOTAL(9,G19:G25)</f>
        <v>0.35538638741419332</v>
      </c>
      <c r="H26" s="306">
        <f t="shared" si="9"/>
        <v>16042445.51031631</v>
      </c>
    </row>
    <row r="27" spans="1:10">
      <c r="A27" s="46" t="str">
        <f>'Sommaire exécutif'!$A26</f>
        <v>Plastique</v>
      </c>
      <c r="B27" s="37" t="str">
        <f>INDEX(ListeMatières,14)</f>
        <v>Bouteilles PET</v>
      </c>
      <c r="C27" s="58">
        <f>INDEX(tblMatières[Quantité générée (tonnes)],MATCH($B27,tblMatières[Matière],0))</f>
        <v>23327.881000000001</v>
      </c>
      <c r="D27" s="26">
        <f>INDEX(tblMatières[Quantité récupérée (tonnes)],MATCH($B27,tblMatières[Matière],0))</f>
        <v>13712.749776472803</v>
      </c>
      <c r="E27" s="26">
        <f t="shared" ref="E27:E37" si="10">C27-D27</f>
        <v>9615.131223527198</v>
      </c>
      <c r="F27" s="48">
        <f>INDEX(tblMatières[Quantité déclarée (tonnes)],MATCH($B27,tblMatières[Matière],0))</f>
        <v>23327.881000000001</v>
      </c>
      <c r="G27" s="75">
        <f t="shared" ref="G27:G37" si="11">E27/$E$48</f>
        <v>4.7081430206064249E-2</v>
      </c>
      <c r="H27" s="304">
        <f t="shared" ref="H27:H37" si="12">G27*$H$54</f>
        <v>2125296.0309598544</v>
      </c>
      <c r="J27" s="462"/>
    </row>
    <row r="28" spans="1:10">
      <c r="A28" s="38"/>
      <c r="B28" s="37" t="str">
        <f>INDEX(ListeMatières,15)</f>
        <v>Bouteilles HDPE</v>
      </c>
      <c r="C28" s="58">
        <f>INDEX(tblMatières[Quantité générée (tonnes)],MATCH($B28,tblMatières[Matière],0))</f>
        <v>16585.286</v>
      </c>
      <c r="D28" s="26">
        <f>INDEX(tblMatières[Quantité récupérée (tonnes)],MATCH($B28,tblMatières[Matière],0))</f>
        <v>10304.630443688771</v>
      </c>
      <c r="E28" s="26">
        <f t="shared" si="10"/>
        <v>6280.6555563112288</v>
      </c>
      <c r="F28" s="48">
        <f>INDEX(tblMatières[Quantité déclarée (tonnes)],MATCH($B28,tblMatières[Matière],0))</f>
        <v>16585.286</v>
      </c>
      <c r="G28" s="75">
        <f t="shared" si="11"/>
        <v>3.0753844055632334E-2</v>
      </c>
      <c r="H28" s="304">
        <f t="shared" si="12"/>
        <v>1388254.8262048119</v>
      </c>
      <c r="J28" s="462"/>
    </row>
    <row r="29" spans="1:10">
      <c r="A29" s="38"/>
      <c r="B29" s="37" t="str">
        <f>INDEX(ListeMatières,16)</f>
        <v>Plastiques stratifiés</v>
      </c>
      <c r="C29" s="58">
        <f>INDEX(tblMatières[Quantité générée (tonnes)],MATCH($B29,tblMatières[Matière],0))</f>
        <v>12008.449000000001</v>
      </c>
      <c r="D29" s="26">
        <f>INDEX(tblMatières[Quantité récupérée (tonnes)],MATCH($B29,tblMatières[Matière],0))</f>
        <v>1611.1743447144986</v>
      </c>
      <c r="E29" s="26">
        <f t="shared" si="10"/>
        <v>10397.274655285502</v>
      </c>
      <c r="F29" s="48">
        <f>INDEX(tblMatières[Quantité déclarée (tonnes)],MATCH($B29,tblMatières[Matière],0))</f>
        <v>12008.449000000001</v>
      </c>
      <c r="G29" s="75">
        <f t="shared" si="11"/>
        <v>5.0911271997859539E-2</v>
      </c>
      <c r="H29" s="304">
        <f t="shared" si="12"/>
        <v>2298178.365325693</v>
      </c>
      <c r="J29" s="462"/>
    </row>
    <row r="30" spans="1:10">
      <c r="A30" s="38"/>
      <c r="B30" s="37" t="str">
        <f>INDEX(ListeMatières,17)</f>
        <v>Pellicules HDPE et LDPE</v>
      </c>
      <c r="C30" s="58">
        <f>INDEX(tblMatières[Quantité générée (tonnes)],MATCH($B30,tblMatières[Matière],0))</f>
        <v>21835.475999999999</v>
      </c>
      <c r="D30" s="26">
        <f>INDEX(tblMatières[Quantité récupérée (tonnes)],MATCH($B30,tblMatières[Matière],0))</f>
        <v>4772.5143538478269</v>
      </c>
      <c r="E30" s="26">
        <f t="shared" si="10"/>
        <v>17062.961646152173</v>
      </c>
      <c r="F30" s="48">
        <f>INDEX(tblMatières[Quantité déclarée (tonnes)],MATCH($B30,tblMatières[Matière],0))</f>
        <v>21835.475999999999</v>
      </c>
      <c r="G30" s="75">
        <f t="shared" si="11"/>
        <v>8.355046012126767E-2</v>
      </c>
      <c r="H30" s="304">
        <f t="shared" si="12"/>
        <v>3771539.2353932401</v>
      </c>
      <c r="J30" s="462"/>
    </row>
    <row r="31" spans="1:10">
      <c r="A31" s="38"/>
      <c r="B31" s="37" t="str">
        <f>INDEX(ListeMatières,18)</f>
        <v>Sacs d'emplettes de pellicules HDPE et LDPE</v>
      </c>
      <c r="C31" s="58">
        <f>INDEX(tblMatières[Quantité générée (tonnes)],MATCH($B31,tblMatières[Matière],0))</f>
        <v>9133.4940000000006</v>
      </c>
      <c r="D31" s="26">
        <f>INDEX(tblMatières[Quantité récupérée (tonnes)],MATCH($B31,tblMatières[Matière],0))</f>
        <v>1201.4744535072032</v>
      </c>
      <c r="E31" s="26">
        <f t="shared" si="10"/>
        <v>7932.0195464927974</v>
      </c>
      <c r="F31" s="48">
        <f>INDEX(tblMatières[Quantité déclarée (tonnes)],MATCH($B31,tblMatières[Matière],0))</f>
        <v>9133.4940000000006</v>
      </c>
      <c r="G31" s="75">
        <f t="shared" si="11"/>
        <v>3.8839909304362256E-2</v>
      </c>
      <c r="H31" s="304">
        <f t="shared" si="12"/>
        <v>1753266.7280096682</v>
      </c>
      <c r="J31" s="462"/>
    </row>
    <row r="32" spans="1:10">
      <c r="A32" s="38"/>
      <c r="B32" s="37" t="str">
        <f>INDEX(ListeMatières,19)</f>
        <v>Polystyrène expansé alimentaire</v>
      </c>
      <c r="C32" s="58">
        <f>INDEX(tblMatières[Quantité générée (tonnes)],MATCH($B32,tblMatières[Matière],0))</f>
        <v>4325.6270000000004</v>
      </c>
      <c r="D32" s="26">
        <f>INDEX(tblMatières[Quantité récupérée (tonnes)],MATCH($B32,tblMatières[Matière],0))</f>
        <v>310.31781478898597</v>
      </c>
      <c r="E32" s="26">
        <f t="shared" si="10"/>
        <v>4015.3091852110147</v>
      </c>
      <c r="F32" s="48">
        <f>INDEX(tblMatières[Quantité déclarée (tonnes)],MATCH($B32,tblMatières[Matière],0))</f>
        <v>4325.6270000000004</v>
      </c>
      <c r="G32" s="75">
        <f t="shared" si="11"/>
        <v>1.9661354043375354E-2</v>
      </c>
      <c r="H32" s="304">
        <f t="shared" si="12"/>
        <v>887530.33900614001</v>
      </c>
      <c r="J32" s="462"/>
    </row>
    <row r="33" spans="1:10">
      <c r="A33" s="266"/>
      <c r="B33" s="37" t="str">
        <f>INDEX(ListeMatières,20)</f>
        <v>Polystyrène expansé de protection</v>
      </c>
      <c r="C33" s="58">
        <f>INDEX(tblMatières[Quantité générée (tonnes)],MATCH($B33,tblMatières[Matière],0))</f>
        <v>1850.1969999999999</v>
      </c>
      <c r="D33" s="26">
        <f>INDEX(tblMatières[Quantité récupérée (tonnes)],MATCH($B33,tblMatières[Matière],0))</f>
        <v>606.7541775293505</v>
      </c>
      <c r="E33" s="26">
        <f>C33-D33</f>
        <v>1243.4428224706494</v>
      </c>
      <c r="F33" s="48">
        <f>INDEX(tblMatières[Quantité déclarée (tonnes)],MATCH($B33,tblMatières[Matière],0))</f>
        <v>1850.1969999999999</v>
      </c>
      <c r="G33" s="75">
        <f t="shared" si="11"/>
        <v>6.0886393643941952E-3</v>
      </c>
      <c r="H33" s="304">
        <f t="shared" si="12"/>
        <v>274846.38887257455</v>
      </c>
      <c r="J33" s="462"/>
    </row>
    <row r="34" spans="1:10">
      <c r="A34" s="38"/>
      <c r="B34" s="37" t="str">
        <f>INDEX(ListeMatières,21)</f>
        <v>Polystyrène non expansé</v>
      </c>
      <c r="C34" s="58">
        <f>INDEX(tblMatières[Quantité générée (tonnes)],MATCH($B34,tblMatières[Matière],0))</f>
        <v>4738.9629999999997</v>
      </c>
      <c r="D34" s="26">
        <f>INDEX(tblMatières[Quantité récupérée (tonnes)],MATCH($B34,tblMatières[Matière],0))</f>
        <v>1488.3805294562796</v>
      </c>
      <c r="E34" s="26">
        <f t="shared" si="10"/>
        <v>3250.5824705437199</v>
      </c>
      <c r="F34" s="48">
        <f>INDEX(tblMatières[Quantité déclarée (tonnes)],MATCH($B34,tblMatières[Matière],0))</f>
        <v>4738.9629999999997</v>
      </c>
      <c r="G34" s="75">
        <f t="shared" si="11"/>
        <v>1.5916794909827385E-2</v>
      </c>
      <c r="H34" s="304">
        <f t="shared" si="12"/>
        <v>718497.73678075324</v>
      </c>
      <c r="J34" s="462"/>
    </row>
    <row r="35" spans="1:10">
      <c r="A35" s="38"/>
      <c r="B35" s="37" t="str">
        <f>INDEX(ListeMatières,22)</f>
        <v>Contenants de PET</v>
      </c>
      <c r="C35" s="58">
        <f>INDEX(tblMatières[Quantité générée (tonnes)],MATCH($B35,tblMatières[Matière],0))</f>
        <v>7338.1760000000004</v>
      </c>
      <c r="D35" s="26">
        <f>INDEX(tblMatières[Quantité récupérée (tonnes)],MATCH($B35,tblMatières[Matière],0))</f>
        <v>3577.9912878235536</v>
      </c>
      <c r="E35" s="26">
        <f t="shared" si="10"/>
        <v>3760.1847121764467</v>
      </c>
      <c r="F35" s="48">
        <f>INDEX(tblMatières[Quantité déclarée (tonnes)],MATCH($B35,tblMatières[Matière],0))</f>
        <v>7338.1760000000004</v>
      </c>
      <c r="G35" s="75">
        <f t="shared" si="11"/>
        <v>1.841211211502343E-2</v>
      </c>
      <c r="H35" s="304">
        <f t="shared" si="12"/>
        <v>831138.48981178389</v>
      </c>
      <c r="J35" s="462"/>
    </row>
    <row r="36" spans="1:10">
      <c r="A36" s="38"/>
      <c r="B36" s="37" t="str">
        <f>INDEX(ListeMatières,23)</f>
        <v>Acide polylactique (PLA) et autres plastiques dégradables</v>
      </c>
      <c r="C36" s="58">
        <f>INDEX(tblMatières[Quantité générée (tonnes)],MATCH($B36,tblMatières[Matière],0))</f>
        <v>82.570999999999998</v>
      </c>
      <c r="D36" s="26">
        <f>INDEX(tblMatières[Quantité récupérée (tonnes)],MATCH($B36,tblMatières[Matière],0))</f>
        <v>16.990421072658968</v>
      </c>
      <c r="E36" s="26">
        <f t="shared" si="10"/>
        <v>65.580578927341037</v>
      </c>
      <c r="F36" s="48">
        <f>INDEX(tblMatières[Quantité déclarée (tonnes)],MATCH($B36,tblMatières[Matière],0))</f>
        <v>82.570999999999998</v>
      </c>
      <c r="G36" s="75">
        <f t="shared" si="11"/>
        <v>3.2112171720400452E-4</v>
      </c>
      <c r="H36" s="304">
        <f t="shared" si="12"/>
        <v>14495.708988483064</v>
      </c>
      <c r="J36" s="462"/>
    </row>
    <row r="37" spans="1:10">
      <c r="A37" s="38"/>
      <c r="B37" s="37" t="str">
        <f>INDEX(ListeMatières,24)</f>
        <v>Autres plastiques, polymères et polyuréthanne</v>
      </c>
      <c r="C37" s="58">
        <f>INDEX(tblMatières[Quantité générée (tonnes)],MATCH($B37,tblMatières[Matière],0))</f>
        <v>33170.372000000003</v>
      </c>
      <c r="D37" s="26">
        <f>INDEX(tblMatières[Quantité récupérée (tonnes)],MATCH($B37,tblMatières[Matière],0))</f>
        <v>12075.576019317883</v>
      </c>
      <c r="E37" s="26">
        <f t="shared" si="10"/>
        <v>21094.79598068212</v>
      </c>
      <c r="F37" s="48">
        <f>INDEX(tblMatières[Quantité déclarée (tonnes)],MATCH($B37,tblMatières[Matière],0))</f>
        <v>33170.372000000003</v>
      </c>
      <c r="G37" s="75">
        <f t="shared" si="11"/>
        <v>0.10329273117411662</v>
      </c>
      <c r="H37" s="304">
        <f t="shared" si="12"/>
        <v>4662722.2374199955</v>
      </c>
      <c r="J37" s="462"/>
    </row>
    <row r="38" spans="1:10">
      <c r="A38" s="43" t="str">
        <f>'Sommaire exécutif'!$A37</f>
        <v>Plastique TOTAL</v>
      </c>
      <c r="B38" s="10"/>
      <c r="C38" s="61">
        <f t="shared" ref="C38:E38" si="13">SUBTOTAL(9,C27:C37)</f>
        <v>134396.49200000003</v>
      </c>
      <c r="D38" s="24">
        <f t="shared" si="13"/>
        <v>49678.553622219813</v>
      </c>
      <c r="E38" s="24">
        <f t="shared" si="13"/>
        <v>84717.938377780185</v>
      </c>
      <c r="F38" s="29">
        <f>SUBTOTAL(9,F27:F37)</f>
        <v>134396.49200000003</v>
      </c>
      <c r="G38" s="87">
        <f t="shared" ref="G38:H38" si="14">SUBTOTAL(9,G27:G37)</f>
        <v>0.41482966900912704</v>
      </c>
      <c r="H38" s="306">
        <f t="shared" si="14"/>
        <v>18725766.086773001</v>
      </c>
    </row>
    <row r="39" spans="1:10">
      <c r="A39" s="46" t="str">
        <f>'Sommaire exécutif'!$A38</f>
        <v>Aluminium</v>
      </c>
      <c r="B39" s="37" t="str">
        <f>INDEX(ListeMatières,25)</f>
        <v>Contenants pour aliments et breuvages en aluminium</v>
      </c>
      <c r="C39" s="58">
        <f>INDEX(tblMatières[Quantité générée (tonnes)],MATCH($B39,tblMatières[Matière],0))</f>
        <v>2927.57</v>
      </c>
      <c r="D39" s="26">
        <f>INDEX(tblMatières[Quantité récupérée (tonnes)],MATCH($B39,tblMatières[Matière],0))</f>
        <v>1291.1594981629264</v>
      </c>
      <c r="E39" s="26">
        <f>C39-D39</f>
        <v>1636.4105018370738</v>
      </c>
      <c r="F39" s="48">
        <f>INDEX(tblMatières[Quantité déclarée (tonnes)],MATCH($B39,tblMatières[Matière],0))</f>
        <v>2927.57</v>
      </c>
      <c r="G39" s="75">
        <f>E39/$E$48</f>
        <v>8.0128440308950746E-3</v>
      </c>
      <c r="H39" s="304">
        <f>G39*$H$54</f>
        <v>361706.63340146758</v>
      </c>
      <c r="J39" s="462"/>
    </row>
    <row r="40" spans="1:10">
      <c r="A40" s="46"/>
      <c r="B40" s="37" t="str">
        <f>INDEX(ListeMatières,26)</f>
        <v>Autres contenants et emballages en aluminium</v>
      </c>
      <c r="C40" s="58">
        <f>INDEX(tblMatières[Quantité générée (tonnes)],MATCH($B40,tblMatières[Matière],0))</f>
        <v>2080.3110000000001</v>
      </c>
      <c r="D40" s="26">
        <f>INDEX(tblMatières[Quantité récupérée (tonnes)],MATCH($B40,tblMatières[Matière],0))</f>
        <v>222.33232413320127</v>
      </c>
      <c r="E40" s="26">
        <f>C40-D40</f>
        <v>1857.9786758667988</v>
      </c>
      <c r="F40" s="48">
        <f>INDEX(tblMatières[Quantité déclarée (tonnes)],MATCH($B40,tblMatières[Matière],0))</f>
        <v>2080.3110000000001</v>
      </c>
      <c r="G40" s="75">
        <f>E40/$E$48</f>
        <v>9.0977742600260331E-3</v>
      </c>
      <c r="H40" s="304">
        <f>G40*$H$54</f>
        <v>410681.31194773223</v>
      </c>
      <c r="J40" s="462"/>
    </row>
    <row r="41" spans="1:10">
      <c r="A41" s="43" t="str">
        <f>'Sommaire exécutif'!$A40</f>
        <v>Aluminium TOTAL</v>
      </c>
      <c r="B41" s="10"/>
      <c r="C41" s="60">
        <f t="shared" ref="C41:E41" si="15">SUBTOTAL(9,C39:C40)</f>
        <v>5007.8810000000003</v>
      </c>
      <c r="D41" s="22">
        <f t="shared" si="15"/>
        <v>1513.4918222961278</v>
      </c>
      <c r="E41" s="22">
        <f t="shared" si="15"/>
        <v>3494.3891777038725</v>
      </c>
      <c r="F41" s="29">
        <f>SUBTOTAL(9,F39:F40)</f>
        <v>5007.8810000000003</v>
      </c>
      <c r="G41" s="87">
        <f t="shared" ref="G41:H41" si="16">SUBTOTAL(9,G39:G40)</f>
        <v>1.7110618290921108E-2</v>
      </c>
      <c r="H41" s="306">
        <f t="shared" si="16"/>
        <v>772387.94534919981</v>
      </c>
    </row>
    <row r="42" spans="1:10">
      <c r="A42" s="46" t="str">
        <f>'Sommaire exécutif'!$A41</f>
        <v>Acier</v>
      </c>
      <c r="B42" s="37" t="str">
        <f>INDEX(ListeMatières,27)</f>
        <v>Bombes aérosol en acier</v>
      </c>
      <c r="C42" s="58">
        <f>INDEX(tblMatières[Quantité générée (tonnes)],MATCH($B42,tblMatières[Matière],0))</f>
        <v>1674.335</v>
      </c>
      <c r="D42" s="26">
        <f>INDEX(tblMatières[Quantité récupérée (tonnes)],MATCH($B42,tblMatières[Matière],0))</f>
        <v>310.15292443013641</v>
      </c>
      <c r="E42" s="26">
        <f>C42-D42</f>
        <v>1364.1820755698636</v>
      </c>
      <c r="F42" s="48">
        <f>INDEX(tblMatières[Quantité déclarée (tonnes)],MATCH($B42,tblMatières[Matière],0))</f>
        <v>1674.335</v>
      </c>
      <c r="G42" s="75">
        <f>E42/$E$48</f>
        <v>6.6798509231104641E-3</v>
      </c>
      <c r="H42" s="304">
        <f>G42*$H$54</f>
        <v>301534.18433031393</v>
      </c>
      <c r="J42" s="462"/>
    </row>
    <row r="43" spans="1:10">
      <c r="A43" s="46"/>
      <c r="B43" s="37" t="str">
        <f>INDEX(ListeMatières,28)</f>
        <v>Autres contenants en acier</v>
      </c>
      <c r="C43" s="58">
        <f>INDEX(tblMatières[Quantité générée (tonnes)],MATCH($B43,tblMatières[Matière],0))</f>
        <v>26835.954000000002</v>
      </c>
      <c r="D43" s="26">
        <f>INDEX(tblMatières[Quantité récupérée (tonnes)],MATCH($B43,tblMatières[Matière],0))</f>
        <v>15021.2491713906</v>
      </c>
      <c r="E43" s="26">
        <f>C43-D43</f>
        <v>11814.704828609401</v>
      </c>
      <c r="F43" s="48">
        <f>INDEX(tblMatières[Quantité déclarée (tonnes)],MATCH($B43,tblMatières[Matière],0))</f>
        <v>26835.954000000002</v>
      </c>
      <c r="G43" s="75">
        <f>E43/$E$48</f>
        <v>5.7851857438235656E-2</v>
      </c>
      <c r="H43" s="304">
        <f>G43*$H$54</f>
        <v>2611482.3287866241</v>
      </c>
      <c r="J43" s="462"/>
    </row>
    <row r="44" spans="1:10">
      <c r="A44" s="43" t="str">
        <f>'Sommaire exécutif'!$A43</f>
        <v>Acier TOTAL</v>
      </c>
      <c r="B44" s="10"/>
      <c r="C44" s="60">
        <f t="shared" ref="C44:E44" si="17">SUBTOTAL(9,C42:C43)</f>
        <v>28510.289000000001</v>
      </c>
      <c r="D44" s="22">
        <f t="shared" si="17"/>
        <v>15331.402095820737</v>
      </c>
      <c r="E44" s="22">
        <f t="shared" si="17"/>
        <v>13178.886904179264</v>
      </c>
      <c r="F44" s="29">
        <f>SUBTOTAL(9,F42:F43)</f>
        <v>28510.289000000001</v>
      </c>
      <c r="G44" s="87">
        <f t="shared" ref="G44:H44" si="18">SUBTOTAL(9,G42:G43)</f>
        <v>6.4531708361346113E-2</v>
      </c>
      <c r="H44" s="306">
        <f t="shared" si="18"/>
        <v>2913016.5131169381</v>
      </c>
    </row>
    <row r="45" spans="1:10">
      <c r="A45" s="46" t="str">
        <f>'Sommaire exécutif'!$A44</f>
        <v>Verre</v>
      </c>
      <c r="B45" s="37" t="str">
        <f>INDEX(ListeMatières,29)</f>
        <v>Verre clair</v>
      </c>
      <c r="C45" s="58">
        <f>INDEX(tblMatières[Quantité générée (tonnes)],MATCH($B45,tblMatières[Matière],0))</f>
        <v>52387.877</v>
      </c>
      <c r="D45" s="26">
        <f>INDEX(tblMatières[Quantité récupérée (tonnes)],MATCH($B45,tblMatières[Matière],0))</f>
        <v>40467.652103728469</v>
      </c>
      <c r="E45" s="26">
        <f>C45-D45</f>
        <v>11920.224896271531</v>
      </c>
      <c r="F45" s="48">
        <f>INDEX(tblMatières[Quantité déclarée (tonnes)],MATCH($B45,tblMatières[Matière],0))</f>
        <v>52387.877</v>
      </c>
      <c r="G45" s="75">
        <f>E45/$E$48</f>
        <v>5.8368546767323282E-2</v>
      </c>
      <c r="H45" s="304">
        <f>G45*$H$54</f>
        <v>2634806.1270557726</v>
      </c>
      <c r="J45" s="462"/>
    </row>
    <row r="46" spans="1:10">
      <c r="A46" s="19"/>
      <c r="B46" s="242" t="str">
        <f>INDEX(ListeMatières,30)</f>
        <v>Verre coloré</v>
      </c>
      <c r="C46" s="58">
        <f>INDEX(tblMatières[Quantité générée (tonnes)],MATCH($B46,tblMatières[Matière],0))</f>
        <v>80574.570000000007</v>
      </c>
      <c r="D46" s="26">
        <f>INDEX(tblMatières[Quantité récupérée (tonnes)],MATCH($B46,tblMatières[Matière],0))</f>
        <v>62240.805581175147</v>
      </c>
      <c r="E46" s="26">
        <f>C46-D46</f>
        <v>18333.76441882486</v>
      </c>
      <c r="F46" s="48">
        <f>INDEX(tblMatières[Quantité déclarée (tonnes)],MATCH($B46,tblMatières[Matière],0))</f>
        <v>80574.570000000007</v>
      </c>
      <c r="G46" s="75">
        <f>E46/$E$48</f>
        <v>8.9773070157089269E-2</v>
      </c>
      <c r="H46" s="304">
        <f>G46*$H$54</f>
        <v>4052433.1749668769</v>
      </c>
      <c r="J46" s="462"/>
    </row>
    <row r="47" spans="1:10">
      <c r="A47" s="43" t="str">
        <f>'Sommaire exécutif'!$A46</f>
        <v>Verre TOTAL</v>
      </c>
      <c r="B47" s="10"/>
      <c r="C47" s="60">
        <f t="shared" ref="C47:E47" si="19">SUBTOTAL(9,C45:C46)</f>
        <v>132962.44700000001</v>
      </c>
      <c r="D47" s="22">
        <f t="shared" si="19"/>
        <v>102708.45768490361</v>
      </c>
      <c r="E47" s="22">
        <f t="shared" si="19"/>
        <v>30253.989315096391</v>
      </c>
      <c r="F47" s="29">
        <f>SUBTOTAL(9,F45:F46)</f>
        <v>132962.44700000001</v>
      </c>
      <c r="G47" s="87">
        <f t="shared" ref="G47:H47" si="20">SUBTOTAL(9,G45:G46)</f>
        <v>0.14814161692441255</v>
      </c>
      <c r="H47" s="306">
        <f t="shared" si="20"/>
        <v>6687239.302022649</v>
      </c>
    </row>
    <row r="48" spans="1:10" ht="15" thickBot="1">
      <c r="A48" s="56" t="str">
        <f>'Sommaire exécutif'!$A47</f>
        <v>CONTENANTS ET EMBALLAGES TOTAL</v>
      </c>
      <c r="B48" s="23"/>
      <c r="C48" s="147">
        <f t="shared" ref="C48:E48" si="21">SUBTOTAL(9,C19:C47)</f>
        <v>479048.94300000003</v>
      </c>
      <c r="D48" s="27">
        <f t="shared" si="21"/>
        <v>274825.51177788019</v>
      </c>
      <c r="E48" s="27">
        <f t="shared" si="21"/>
        <v>204223.43122211983</v>
      </c>
      <c r="F48" s="148">
        <f>SUBTOTAL(9,F19:F47)</f>
        <v>479048.94300000003</v>
      </c>
      <c r="G48" s="90">
        <f t="shared" ref="G48:H48" si="22">SUBTOTAL(9,G19:G47)</f>
        <v>1</v>
      </c>
      <c r="H48" s="305">
        <f t="shared" si="22"/>
        <v>45140855.357578099</v>
      </c>
    </row>
    <row r="49" spans="1:8">
      <c r="A49" s="38"/>
      <c r="B49" s="35"/>
      <c r="C49" s="38"/>
      <c r="D49" s="35"/>
      <c r="E49" s="35"/>
      <c r="F49" s="39"/>
      <c r="G49" s="67"/>
      <c r="H49" s="303"/>
    </row>
    <row r="50" spans="1:8" ht="15" thickBot="1">
      <c r="A50" s="57" t="str">
        <f>'Sommaire exécutif'!$A49</f>
        <v>TOTAL</v>
      </c>
      <c r="B50" s="14"/>
      <c r="C50" s="62">
        <f t="shared" ref="C50:E50" si="23">SUBTOTAL(9,C10:C48)</f>
        <v>637067.77300000004</v>
      </c>
      <c r="D50" s="25">
        <f t="shared" si="23"/>
        <v>400693.19399743015</v>
      </c>
      <c r="E50" s="25">
        <f t="shared" si="23"/>
        <v>236374.5790025699</v>
      </c>
      <c r="F50" s="31">
        <f>SUBTOTAL(9,F10:F48)</f>
        <v>637067.77300000004</v>
      </c>
      <c r="G50" s="153"/>
      <c r="H50" s="309">
        <f>SUBTOTAL(9,H10:H48)</f>
        <v>57320724.536117956</v>
      </c>
    </row>
    <row r="51" spans="1:8" ht="15" thickTop="1">
      <c r="A51" s="38"/>
      <c r="B51" s="35"/>
      <c r="G51" s="37"/>
      <c r="H51" s="311"/>
    </row>
    <row r="52" spans="1:8">
      <c r="A52" s="42" t="s">
        <v>72</v>
      </c>
      <c r="B52" s="97"/>
      <c r="C52" s="96"/>
      <c r="D52" s="96"/>
      <c r="E52" s="96"/>
      <c r="F52" s="96"/>
      <c r="G52" s="96"/>
      <c r="H52" s="312"/>
    </row>
    <row r="53" spans="1:8">
      <c r="A53" s="100" t="str">
        <f>'Coûts nets'!B48</f>
        <v>Imprimés</v>
      </c>
      <c r="B53" s="98"/>
      <c r="C53" s="95"/>
      <c r="D53" s="95"/>
      <c r="E53" s="95"/>
      <c r="F53" s="95"/>
      <c r="G53" s="95"/>
      <c r="H53" s="313">
        <f>'Coûts nets'!$G48*$G$8</f>
        <v>12179869.178539848</v>
      </c>
    </row>
    <row r="54" spans="1:8">
      <c r="A54" s="101" t="str">
        <f>'Coûts nets'!B49</f>
        <v>Contenants et emballages</v>
      </c>
      <c r="B54" s="49"/>
      <c r="C54" s="54"/>
      <c r="D54" s="54"/>
      <c r="E54" s="54"/>
      <c r="F54" s="54"/>
      <c r="G54" s="54"/>
      <c r="H54" s="314">
        <f>'Coûts nets'!$G49*$G$8</f>
        <v>45140855.357578091</v>
      </c>
    </row>
  </sheetData>
  <sheetProtection password="82A0" sheet="1" objects="1" scenarios="1"/>
  <mergeCells count="2">
    <mergeCell ref="G6:H6"/>
    <mergeCell ref="C6:F6"/>
  </mergeCells>
  <pageMargins left="0.7" right="0.7" top="0.75" bottom="0.75" header="0.3" footer="0.3"/>
  <pageSetup scale="55" fitToHeight="0" orientation="landscape" r:id="rId1"/>
  <ignoredErrors>
    <ignoredError sqref="C34:H37 C27:H32 C39:H40 C42:H43" formula="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J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L8" sqref="L8"/>
    </sheetView>
  </sheetViews>
  <sheetFormatPr baseColWidth="10" defaultColWidth="9.109375" defaultRowHeight="14.4"/>
  <cols>
    <col min="1" max="1" width="29.33203125" customWidth="1"/>
    <col min="2" max="2" width="52.109375" bestFit="1" customWidth="1"/>
    <col min="3" max="3" width="16.88671875" customWidth="1"/>
    <col min="4" max="4" width="16.44140625" customWidth="1"/>
    <col min="5" max="5" width="12.88671875" bestFit="1" customWidth="1"/>
    <col min="6" max="6" width="16.109375" bestFit="1" customWidth="1"/>
    <col min="7" max="7" width="12.6640625" bestFit="1" customWidth="1"/>
    <col min="8" max="8" width="19" bestFit="1" customWidth="1"/>
    <col min="9" max="9" width="15.6640625" bestFit="1" customWidth="1"/>
    <col min="10" max="10" width="17.6640625" bestFit="1" customWidth="1"/>
  </cols>
  <sheetData>
    <row r="1" spans="1:10" s="159" customFormat="1" ht="15" thickBot="1">
      <c r="A1" s="4" t="s">
        <v>59</v>
      </c>
      <c r="B1" s="36"/>
    </row>
    <row r="2" spans="1:10" ht="6.75" customHeight="1" thickBot="1">
      <c r="A2" s="35"/>
      <c r="B2" s="35"/>
    </row>
    <row r="3" spans="1:10" ht="18" thickBot="1">
      <c r="A3" s="93" t="str">
        <f>Paramètres!B4</f>
        <v>Tarif</v>
      </c>
      <c r="B3" s="245">
        <f>AnnéeTarif</f>
        <v>2016</v>
      </c>
    </row>
    <row r="4" spans="1:10" ht="18" thickBot="1">
      <c r="A4" s="93" t="str">
        <f>Paramètres!B5</f>
        <v>Scénario</v>
      </c>
      <c r="B4" s="245" t="str">
        <f>Paramètres!C5</f>
        <v>Publication Juillet 2016</v>
      </c>
    </row>
    <row r="5" spans="1:10" ht="18" thickBot="1">
      <c r="A5" s="93" t="str">
        <f>Paramètres!B6</f>
        <v>Année de référence</v>
      </c>
      <c r="B5" s="94">
        <f>AnnéeRéf</f>
        <v>2015</v>
      </c>
    </row>
    <row r="6" spans="1:10" ht="15.75" customHeight="1">
      <c r="A6" s="105"/>
      <c r="B6" s="105"/>
      <c r="C6" s="655"/>
      <c r="D6" s="656"/>
      <c r="E6" s="637" t="s">
        <v>231</v>
      </c>
      <c r="F6" s="638"/>
      <c r="G6" s="638"/>
      <c r="H6" s="638"/>
      <c r="I6" s="638"/>
      <c r="J6" s="638"/>
    </row>
    <row r="7" spans="1:10" ht="42.6" thickBot="1">
      <c r="A7" s="272" t="str">
        <f>'Facteur 1'!A7</f>
        <v>CATÉGORIE</v>
      </c>
      <c r="B7" s="18" t="str">
        <f>'Facteur 1'!B7</f>
        <v>Matière</v>
      </c>
      <c r="C7" s="44" t="str">
        <f>'Facteur 1'!D7</f>
        <v xml:space="preserve">Quantité récupérée
(tonnes) </v>
      </c>
      <c r="D7" s="47" t="str">
        <f>'Facteur 1'!F7</f>
        <v>Quantité déclarée 
(tonnes)</v>
      </c>
      <c r="E7" s="258" t="s">
        <v>196</v>
      </c>
      <c r="F7" s="170" t="s">
        <v>198</v>
      </c>
      <c r="G7" s="170" t="s">
        <v>197</v>
      </c>
      <c r="H7" s="170" t="s">
        <v>199</v>
      </c>
      <c r="I7" s="170" t="str">
        <f>'Facteur 1'!G7</f>
        <v>Proportion par catégorie
(%)</v>
      </c>
      <c r="J7" s="170" t="s">
        <v>86</v>
      </c>
    </row>
    <row r="8" spans="1:10" ht="15" thickBot="1">
      <c r="A8" s="99"/>
      <c r="B8" s="171" t="s">
        <v>70</v>
      </c>
      <c r="C8" s="71"/>
      <c r="D8" s="72"/>
      <c r="E8" s="151">
        <v>0.4</v>
      </c>
      <c r="F8" s="152"/>
      <c r="G8" s="152"/>
      <c r="H8" s="152"/>
      <c r="I8" s="152"/>
      <c r="J8" s="152"/>
    </row>
    <row r="9" spans="1:10">
      <c r="A9" s="43" t="str">
        <f>'Facteur 1'!A9</f>
        <v>IMPRIMÉS</v>
      </c>
      <c r="B9" s="45"/>
      <c r="C9" s="79"/>
      <c r="D9" s="103"/>
      <c r="E9" s="124"/>
      <c r="F9" s="125"/>
      <c r="G9" s="125"/>
      <c r="H9" s="125"/>
      <c r="I9" s="76"/>
      <c r="J9" s="111"/>
    </row>
    <row r="10" spans="1:10">
      <c r="A10" s="38"/>
      <c r="B10" s="37" t="str">
        <f>INDEX(ListeMatières,1)</f>
        <v>Encarts et circulaires imprimés sur du papier journal</v>
      </c>
      <c r="C10" s="26">
        <f>INDEX(tblMatières[Quantité récupérée (tonnes)],MATCH($B10,tblMatières[Matière],0))</f>
        <v>83603.981319046245</v>
      </c>
      <c r="D10" s="48">
        <f>INDEX(tblMatières[Quantité déclarée (tonnes)],MATCH($B10,tblMatières[Matière],0))</f>
        <v>97857.077999999994</v>
      </c>
      <c r="E10" s="190">
        <f>INDEX(tblMatières[Coût brut],MATCH($B10,tblMatières[Matière],0))</f>
        <v>169.72788477579965</v>
      </c>
      <c r="F10" s="199">
        <f>INDEX(tblMatières[Revenu brut],MATCH($B10,tblMatières[Matière],0))</f>
        <v>75.332065206007883</v>
      </c>
      <c r="G10" s="199">
        <f t="shared" ref="G10:G15" si="0">E10-F10</f>
        <v>94.395819569791769</v>
      </c>
      <c r="H10" s="315">
        <f t="shared" ref="H10:H15" si="1">G10*C10</f>
        <v>7891866.3359089307</v>
      </c>
      <c r="I10" s="498">
        <f t="shared" ref="I10:I15" si="2">$H10/$H$16</f>
        <v>0.65586647360232864</v>
      </c>
      <c r="J10" s="315">
        <f t="shared" ref="J10:J15" si="3">I10*$J$53</f>
        <v>7988367.8470666213</v>
      </c>
    </row>
    <row r="11" spans="1:10">
      <c r="A11" s="38"/>
      <c r="B11" s="37" t="str">
        <f>INDEX(ListeMatières,2)</f>
        <v>Catalogues et publications</v>
      </c>
      <c r="C11" s="26">
        <f>INDEX(tblMatières[Quantité récupérée (tonnes)],MATCH($B11,tblMatières[Matière],0))</f>
        <v>13513.311672303862</v>
      </c>
      <c r="D11" s="48">
        <f>INDEX(tblMatières[Quantité déclarée (tonnes)],MATCH($B11,tblMatières[Matière],0))</f>
        <v>16849.689999999999</v>
      </c>
      <c r="E11" s="191">
        <f>INDEX(tblMatières[Coût brut],MATCH($B11,tblMatières[Matière],0))</f>
        <v>166.39290013808409</v>
      </c>
      <c r="F11" s="200">
        <f>INDEX(tblMatières[Revenu brut],MATCH($B11,tblMatières[Matière],0))</f>
        <v>73.153008582348562</v>
      </c>
      <c r="G11" s="207">
        <f t="shared" si="0"/>
        <v>93.239891555735525</v>
      </c>
      <c r="H11" s="316">
        <f t="shared" si="1"/>
        <v>1259979.7148844672</v>
      </c>
      <c r="I11" s="499">
        <f t="shared" si="2"/>
        <v>0.10471267723474012</v>
      </c>
      <c r="J11" s="317">
        <f t="shared" si="3"/>
        <v>1275386.7100538025</v>
      </c>
    </row>
    <row r="12" spans="1:10">
      <c r="A12" s="38"/>
      <c r="B12" s="37" t="str">
        <f>INDEX(ListeMatières,3)</f>
        <v>Magazines</v>
      </c>
      <c r="C12" s="26">
        <f>INDEX(tblMatières[Quantité récupérée (tonnes)],MATCH($B12,tblMatières[Matière],0))</f>
        <v>9110.2160408458858</v>
      </c>
      <c r="D12" s="48">
        <f>INDEX(tblMatières[Quantité déclarée (tonnes)],MATCH($B12,tblMatières[Matière],0))</f>
        <v>10816.571</v>
      </c>
      <c r="E12" s="191">
        <f>INDEX(tblMatières[Coût brut],MATCH($B12,tblMatières[Matière],0))</f>
        <v>164.35730748701044</v>
      </c>
      <c r="F12" s="200">
        <f>INDEX(tblMatières[Revenu brut],MATCH($B12,tblMatières[Matière],0))</f>
        <v>73.567588697758424</v>
      </c>
      <c r="G12" s="200">
        <f t="shared" si="0"/>
        <v>90.789718789252021</v>
      </c>
      <c r="H12" s="317">
        <f t="shared" si="1"/>
        <v>827113.95245773089</v>
      </c>
      <c r="I12" s="499">
        <f t="shared" si="2"/>
        <v>6.8738659295001531E-2</v>
      </c>
      <c r="J12" s="317">
        <f t="shared" si="3"/>
        <v>837227.87772134074</v>
      </c>
    </row>
    <row r="13" spans="1:10">
      <c r="A13" s="38"/>
      <c r="B13" s="37" t="str">
        <f>INDEX(ListeMatières,4)</f>
        <v>Annuaires téléphoniques</v>
      </c>
      <c r="C13" s="26">
        <f>INDEX(tblMatières[Quantité récupérée (tonnes)],MATCH($B13,tblMatières[Matière],0))</f>
        <v>1761.6059678635033</v>
      </c>
      <c r="D13" s="48">
        <f>INDEX(tblMatières[Quantité déclarée (tonnes)],MATCH($B13,tblMatières[Matière],0))</f>
        <v>1956.9110000000001</v>
      </c>
      <c r="E13" s="191">
        <f>INDEX(tblMatières[Coût brut],MATCH($B13,tblMatières[Matière],0))</f>
        <v>166.79364171278405</v>
      </c>
      <c r="F13" s="200">
        <f>INDEX(tblMatières[Revenu brut],MATCH($B13,tblMatières[Matière],0))</f>
        <v>71.148817027272301</v>
      </c>
      <c r="G13" s="200">
        <f t="shared" si="0"/>
        <v>95.64482468551175</v>
      </c>
      <c r="H13" s="317">
        <f t="shared" si="1"/>
        <v>168488.49396125603</v>
      </c>
      <c r="I13" s="499">
        <f t="shared" si="2"/>
        <v>1.400251216548372E-2</v>
      </c>
      <c r="J13" s="317">
        <f t="shared" si="3"/>
        <v>170548.76634650442</v>
      </c>
    </row>
    <row r="14" spans="1:10">
      <c r="A14" s="38"/>
      <c r="B14" s="37" t="str">
        <f>INDEX(ListeMatières,5)</f>
        <v>Papier à usage général</v>
      </c>
      <c r="C14" s="26">
        <f>INDEX(tblMatières[Quantité récupérée (tonnes)],MATCH($B14,tblMatières[Matière],0))</f>
        <v>2990.2667386915787</v>
      </c>
      <c r="D14" s="48">
        <f>INDEX(tblMatières[Quantité déclarée (tonnes)],MATCH($B14,tblMatières[Matière],0))</f>
        <v>4514.6930000000002</v>
      </c>
      <c r="E14" s="191">
        <f>INDEX(tblMatières[Coût brut],MATCH($B14,tblMatières[Matière],0))</f>
        <v>167.56600211042783</v>
      </c>
      <c r="F14" s="200">
        <f>INDEX(tblMatières[Revenu brut],MATCH($B14,tblMatières[Matière],0))</f>
        <v>71.029789977591292</v>
      </c>
      <c r="G14" s="200">
        <f t="shared" si="0"/>
        <v>96.536212132836539</v>
      </c>
      <c r="H14" s="317">
        <f t="shared" si="1"/>
        <v>288669.02422009554</v>
      </c>
      <c r="I14" s="499">
        <f t="shared" si="2"/>
        <v>2.3990311910376993E-2</v>
      </c>
      <c r="J14" s="317">
        <f t="shared" si="3"/>
        <v>292198.86062075815</v>
      </c>
    </row>
    <row r="15" spans="1:10">
      <c r="A15" s="38"/>
      <c r="B15" s="37" t="str">
        <f>INDEX(ListeMatières,6)</f>
        <v>Autres imprimés</v>
      </c>
      <c r="C15" s="26">
        <f>INDEX(tblMatières[Quantité récupérée (tonnes)],MATCH($B15,tblMatières[Matière],0))</f>
        <v>14888.300480798885</v>
      </c>
      <c r="D15" s="48">
        <f>INDEX(tblMatières[Quantité déclarée (tonnes)],MATCH($B15,tblMatières[Matière],0))</f>
        <v>26023.886999999999</v>
      </c>
      <c r="E15" s="192">
        <f>INDEX(tblMatières[Coût brut],MATCH($B15,tblMatières[Matière],0))</f>
        <v>172.77872783111425</v>
      </c>
      <c r="F15" s="201">
        <f>INDEX(tblMatières[Revenu brut],MATCH($B15,tblMatières[Matière],0))</f>
        <v>65.539103801495926</v>
      </c>
      <c r="G15" s="201">
        <f t="shared" si="0"/>
        <v>107.23962402961833</v>
      </c>
      <c r="H15" s="318">
        <f t="shared" si="1"/>
        <v>1596615.7460008583</v>
      </c>
      <c r="I15" s="500">
        <f t="shared" si="2"/>
        <v>0.13268936579206886</v>
      </c>
      <c r="J15" s="318">
        <f t="shared" si="3"/>
        <v>1616139.1167308192</v>
      </c>
    </row>
    <row r="16" spans="1:10" ht="15" thickBot="1">
      <c r="A16" s="55" t="str">
        <f>'Facteur 1'!A16</f>
        <v>IMPRIMÉS TOTAL</v>
      </c>
      <c r="B16" s="50"/>
      <c r="C16" s="21">
        <f t="shared" ref="C16:D16" si="4">SUBTOTAL(9,C10:C15)</f>
        <v>125867.68221954998</v>
      </c>
      <c r="D16" s="28">
        <f t="shared" si="4"/>
        <v>158018.82999999999</v>
      </c>
      <c r="E16" s="193"/>
      <c r="F16" s="202"/>
      <c r="G16" s="202"/>
      <c r="H16" s="319">
        <f t="shared" ref="H16:J16" si="5">SUBTOTAL(9,H10:H15)</f>
        <v>12032733.26743334</v>
      </c>
      <c r="I16" s="464">
        <f t="shared" si="5"/>
        <v>1</v>
      </c>
      <c r="J16" s="305">
        <f t="shared" si="5"/>
        <v>12179869.178539846</v>
      </c>
    </row>
    <row r="17" spans="1:10">
      <c r="A17" s="38"/>
      <c r="B17" s="39"/>
      <c r="C17" s="35"/>
      <c r="D17" s="39"/>
      <c r="E17" s="194"/>
      <c r="F17" s="203"/>
      <c r="G17" s="203"/>
      <c r="H17" s="320"/>
      <c r="I17" s="80"/>
      <c r="J17" s="303"/>
    </row>
    <row r="18" spans="1:10">
      <c r="A18" s="43" t="str">
        <f>'Facteur 1'!A18</f>
        <v>CONTENANTS ET EMBALLAGES</v>
      </c>
      <c r="B18" s="45"/>
      <c r="C18" s="11"/>
      <c r="D18" s="45"/>
      <c r="E18" s="195"/>
      <c r="F18" s="204"/>
      <c r="G18" s="204"/>
      <c r="H18" s="321"/>
      <c r="I18" s="79"/>
      <c r="J18" s="310"/>
    </row>
    <row r="19" spans="1:10">
      <c r="A19" s="46" t="str">
        <f>'Facteur 1'!A19</f>
        <v>Papier et carton</v>
      </c>
      <c r="B19" s="37" t="str">
        <f>INDEX(ListeMatières,7)</f>
        <v>Carton ondulé</v>
      </c>
      <c r="C19" s="26">
        <f>INDEX(tblMatières[Quantité récupérée (tonnes)],MATCH($B19,tblMatières[Matière],0))</f>
        <v>40298.230838201678</v>
      </c>
      <c r="D19" s="48">
        <f>INDEX(tblMatières[Quantité déclarée (tonnes)],MATCH($B19,tblMatières[Matière],0))</f>
        <v>56835.883000000002</v>
      </c>
      <c r="E19" s="190">
        <f>INDEX(tblMatières[Coût brut],MATCH($B19,tblMatières[Matière],0))</f>
        <v>242.44432734821206</v>
      </c>
      <c r="F19" s="200">
        <f>INDEX(tblMatières[Revenu brut],MATCH($B19,tblMatières[Matière],0))</f>
        <v>88.758193070403635</v>
      </c>
      <c r="G19" s="200">
        <f t="shared" ref="G19:G25" si="6">E19-F19</f>
        <v>153.68613427780843</v>
      </c>
      <c r="H19" s="317">
        <f t="shared" ref="H19:H25" si="7">G19*C19</f>
        <v>6193279.3157579843</v>
      </c>
      <c r="I19" s="499">
        <f t="shared" ref="I19:I25" si="8">$H19/$H$48</f>
        <v>0.122089604283144</v>
      </c>
      <c r="J19" s="317">
        <f t="shared" ref="J19:J25" si="9">I19*$J$54</f>
        <v>5511229.1676093498</v>
      </c>
    </row>
    <row r="20" spans="1:10">
      <c r="A20" s="46"/>
      <c r="B20" s="37" t="str">
        <f>INDEX(ListeMatières,8)</f>
        <v>Sacs de papier kraft</v>
      </c>
      <c r="C20" s="26">
        <f>INDEX(tblMatières[Quantité récupérée (tonnes)],MATCH($B20,tblMatières[Matière],0))</f>
        <v>954.88002661803682</v>
      </c>
      <c r="D20" s="48">
        <f>INDEX(tblMatières[Quantité déclarée (tonnes)],MATCH($B20,tblMatières[Matière],0))</f>
        <v>2779.5329999999999</v>
      </c>
      <c r="E20" s="191">
        <f>INDEX(tblMatières[Coût brut],MATCH($B20,tblMatières[Matière],0))</f>
        <v>242.44432734821206</v>
      </c>
      <c r="F20" s="200">
        <f>INDEX(tblMatières[Revenu brut],MATCH($B20,tblMatières[Matière],0))</f>
        <v>88.758193070403635</v>
      </c>
      <c r="G20" s="200">
        <f t="shared" si="6"/>
        <v>153.68613427780843</v>
      </c>
      <c r="H20" s="317">
        <f t="shared" si="7"/>
        <v>146751.8199900169</v>
      </c>
      <c r="I20" s="499">
        <f t="shared" si="8"/>
        <v>2.892953912933528E-3</v>
      </c>
      <c r="J20" s="317">
        <f t="shared" si="9"/>
        <v>130590.41413987195</v>
      </c>
    </row>
    <row r="21" spans="1:10">
      <c r="A21" s="46"/>
      <c r="B21" s="37" t="str">
        <f>INDEX(ListeMatières,9)</f>
        <v>Emballages de papier kraft</v>
      </c>
      <c r="C21" s="26">
        <f>INDEX(tblMatières[Quantité récupérée (tonnes)],MATCH($B21,tblMatières[Matière],0))</f>
        <v>99.135800518476543</v>
      </c>
      <c r="D21" s="48">
        <f>INDEX(tblMatières[Quantité déclarée (tonnes)],MATCH($B21,tblMatières[Matière],0))</f>
        <v>311.67700000000002</v>
      </c>
      <c r="E21" s="191">
        <f>INDEX(tblMatières[Coût brut],MATCH($B21,tblMatières[Matière],0))</f>
        <v>242.44432734821206</v>
      </c>
      <c r="F21" s="200">
        <f>INDEX(tblMatières[Revenu brut],MATCH($B21,tblMatières[Matière],0))</f>
        <v>88.758193070403635</v>
      </c>
      <c r="G21" s="200">
        <f t="shared" si="6"/>
        <v>153.68613427780843</v>
      </c>
      <c r="H21" s="317">
        <f t="shared" si="7"/>
        <v>15235.797950220616</v>
      </c>
      <c r="I21" s="499">
        <f t="shared" si="8"/>
        <v>3.0034694833599849E-4</v>
      </c>
      <c r="J21" s="317">
        <f t="shared" si="9"/>
        <v>13557.918151925287</v>
      </c>
    </row>
    <row r="22" spans="1:10">
      <c r="A22" s="46"/>
      <c r="B22" s="37" t="str">
        <f>INDEX(ListeMatières,10)</f>
        <v>Carton plat et autres emballages de papier</v>
      </c>
      <c r="C22" s="26">
        <f>INDEX(tblMatières[Quantité récupérée (tonnes)],MATCH($B22,tblMatières[Matière],0))</f>
        <v>49237.634927102714</v>
      </c>
      <c r="D22" s="48">
        <f>INDEX(tblMatières[Quantité déclarée (tonnes)],MATCH($B22,tblMatières[Matière],0))</f>
        <v>87303.759000000005</v>
      </c>
      <c r="E22" s="191">
        <f>INDEX(tblMatières[Coût brut],MATCH($B22,tblMatières[Matière],0))</f>
        <v>222.89</v>
      </c>
      <c r="F22" s="200">
        <f>INDEX(tblMatières[Revenu brut],MATCH($B22,tblMatières[Matière],0))</f>
        <v>73.59</v>
      </c>
      <c r="G22" s="200">
        <f t="shared" si="6"/>
        <v>149.29999999999998</v>
      </c>
      <c r="H22" s="317">
        <f t="shared" si="7"/>
        <v>7351178.8946164344</v>
      </c>
      <c r="I22" s="499">
        <f t="shared" si="8"/>
        <v>0.14491555709020637</v>
      </c>
      <c r="J22" s="317">
        <f t="shared" si="9"/>
        <v>6541612.2016718565</v>
      </c>
    </row>
    <row r="23" spans="1:10">
      <c r="A23" s="46"/>
      <c r="B23" s="37" t="str">
        <f>INDEX(ListeMatières,11)</f>
        <v>Contenants à pignon</v>
      </c>
      <c r="C23" s="26">
        <f>INDEX(tblMatières[Quantité récupérée (tonnes)],MATCH($B23,tblMatières[Matière],0))</f>
        <v>8372.0581397423357</v>
      </c>
      <c r="D23" s="48">
        <f>INDEX(tblMatières[Quantité déclarée (tonnes)],MATCH($B23,tblMatières[Matière],0))</f>
        <v>12195.004999999999</v>
      </c>
      <c r="E23" s="191">
        <f>INDEX(tblMatières[Coût brut],MATCH($B23,tblMatières[Matière],0))</f>
        <v>253.66340713032608</v>
      </c>
      <c r="F23" s="200">
        <f>INDEX(tblMatières[Revenu brut],MATCH($B23,tblMatières[Matière],0))</f>
        <v>71.375170862239642</v>
      </c>
      <c r="G23" s="200">
        <f t="shared" si="6"/>
        <v>182.28823626808645</v>
      </c>
      <c r="H23" s="317">
        <f t="shared" si="7"/>
        <v>1526127.7122275073</v>
      </c>
      <c r="I23" s="499">
        <f t="shared" si="8"/>
        <v>3.0084922538100047E-2</v>
      </c>
      <c r="J23" s="317">
        <f t="shared" si="9"/>
        <v>1358059.1367363154</v>
      </c>
    </row>
    <row r="24" spans="1:10">
      <c r="A24" s="46"/>
      <c r="B24" s="37" t="str">
        <f>INDEX(ListeMatières,12)</f>
        <v>Laminés de papier</v>
      </c>
      <c r="C24" s="26">
        <f>INDEX(tblMatières[Quantité récupérée (tonnes)],MATCH($B24,tblMatières[Matière],0))</f>
        <v>3387.8210957870429</v>
      </c>
      <c r="D24" s="48">
        <f>INDEX(tblMatières[Quantité déclarée (tonnes)],MATCH($B24,tblMatières[Matière],0))</f>
        <v>12539.928</v>
      </c>
      <c r="E24" s="191">
        <f>INDEX(tblMatières[Coût brut],MATCH($B24,tblMatières[Matière],0))</f>
        <v>264.55625404850372</v>
      </c>
      <c r="F24" s="200">
        <f>INDEX(tblMatières[Revenu brut],MATCH($B24,tblMatières[Matière],0))</f>
        <v>37.843922147128509</v>
      </c>
      <c r="G24" s="200">
        <f t="shared" si="6"/>
        <v>226.71233190137519</v>
      </c>
      <c r="H24" s="317">
        <f t="shared" si="7"/>
        <v>768060.8206905527</v>
      </c>
      <c r="I24" s="499">
        <f t="shared" si="8"/>
        <v>1.5140967633238384E-2</v>
      </c>
      <c r="J24" s="317">
        <f t="shared" si="9"/>
        <v>683476.22990578541</v>
      </c>
    </row>
    <row r="25" spans="1:10">
      <c r="A25" s="46"/>
      <c r="B25" s="37" t="str">
        <f>INDEX(ListeMatières,13)</f>
        <v>Contenants aseptiques</v>
      </c>
      <c r="C25" s="26">
        <f>INDEX(tblMatières[Quantité récupérée (tonnes)],MATCH($B25,tblMatières[Matière],0))</f>
        <v>3243.8457246695884</v>
      </c>
      <c r="D25" s="48">
        <f>INDEX(tblMatières[Quantité déclarée (tonnes)],MATCH($B25,tblMatières[Matière],0))</f>
        <v>6206.049</v>
      </c>
      <c r="E25" s="192">
        <f>INDEX(tblMatières[Coût brut],MATCH($B25,tblMatières[Matière],0))</f>
        <v>249.79123840473002</v>
      </c>
      <c r="F25" s="200">
        <f>INDEX(tblMatières[Revenu brut],MATCH($B25,tblMatières[Matière],0))</f>
        <v>63.679871675323923</v>
      </c>
      <c r="G25" s="200">
        <f t="shared" si="6"/>
        <v>186.11136672940609</v>
      </c>
      <c r="H25" s="317">
        <f t="shared" si="7"/>
        <v>603716.56127759779</v>
      </c>
      <c r="I25" s="499">
        <f t="shared" si="8"/>
        <v>1.1901209731978871E-2</v>
      </c>
      <c r="J25" s="317">
        <f t="shared" si="9"/>
        <v>537230.78709145891</v>
      </c>
    </row>
    <row r="26" spans="1:10">
      <c r="A26" s="43" t="str">
        <f>'Facteur 1'!A26</f>
        <v>Papier et carton TOTAL</v>
      </c>
      <c r="B26" s="51"/>
      <c r="C26" s="22">
        <f t="shared" ref="C26:D26" si="10">SUBTOTAL(9,C19:C25)</f>
        <v>105593.60655263987</v>
      </c>
      <c r="D26" s="29">
        <f t="shared" si="10"/>
        <v>178171.83400000003</v>
      </c>
      <c r="E26" s="196"/>
      <c r="F26" s="205"/>
      <c r="G26" s="205"/>
      <c r="H26" s="322">
        <f t="shared" ref="H26:J26" si="11">SUBTOTAL(9,H19:H25)</f>
        <v>16604350.922510311</v>
      </c>
      <c r="I26" s="89">
        <f t="shared" si="11"/>
        <v>0.32732556213793712</v>
      </c>
      <c r="J26" s="306">
        <f t="shared" si="11"/>
        <v>14775755.855306562</v>
      </c>
    </row>
    <row r="27" spans="1:10">
      <c r="A27" s="46" t="str">
        <f>'Facteur 1'!A27</f>
        <v>Plastique</v>
      </c>
      <c r="B27" s="37" t="str">
        <f>INDEX(ListeMatières,14)</f>
        <v>Bouteilles PET</v>
      </c>
      <c r="C27" s="26">
        <f>INDEX(tblMatières[Quantité récupérée (tonnes)],MATCH($B27,tblMatières[Matière],0))</f>
        <v>13712.749776472803</v>
      </c>
      <c r="D27" s="48">
        <f>INDEX(tblMatières[Quantité déclarée (tonnes)],MATCH($B27,tblMatières[Matière],0))</f>
        <v>23327.881000000001</v>
      </c>
      <c r="E27" s="191">
        <f>INDEX(tblMatières[Coût brut],MATCH($B27,tblMatières[Matière],0))</f>
        <v>504.66950684735929</v>
      </c>
      <c r="F27" s="200">
        <f>INDEX(tblMatières[Revenu brut],MATCH($B27,tblMatières[Matière],0))</f>
        <v>298.66732096778912</v>
      </c>
      <c r="G27" s="200">
        <f t="shared" ref="G27:G37" si="12">E27-F27</f>
        <v>206.00218587957016</v>
      </c>
      <c r="H27" s="317">
        <f t="shared" ref="H27:H37" si="13">G27*C27</f>
        <v>2824856.4283729848</v>
      </c>
      <c r="I27" s="499">
        <f t="shared" ref="I27:I37" si="14">$H27/$H$48</f>
        <v>5.5687073989903406E-2</v>
      </c>
      <c r="J27" s="317">
        <f t="shared" ref="J27:J37" si="15">I27*$J$54</f>
        <v>2513762.1522649787</v>
      </c>
    </row>
    <row r="28" spans="1:10">
      <c r="A28" s="38"/>
      <c r="B28" s="37" t="str">
        <f>INDEX(ListeMatières,15)</f>
        <v>Bouteilles HDPE</v>
      </c>
      <c r="C28" s="26">
        <f>INDEX(tblMatières[Quantité récupérée (tonnes)],MATCH($B28,tblMatières[Matière],0))</f>
        <v>10304.630443688771</v>
      </c>
      <c r="D28" s="48">
        <f>INDEX(tblMatières[Quantité déclarée (tonnes)],MATCH($B28,tblMatières[Matière],0))</f>
        <v>16585.286</v>
      </c>
      <c r="E28" s="191">
        <f>INDEX(tblMatières[Coût brut],MATCH($B28,tblMatières[Matière],0))</f>
        <v>438.19871526060439</v>
      </c>
      <c r="F28" s="200">
        <f>INDEX(tblMatières[Revenu brut],MATCH($B28,tblMatières[Matière],0))</f>
        <v>358.77255105008879</v>
      </c>
      <c r="G28" s="200">
        <f t="shared" si="12"/>
        <v>79.426164210515594</v>
      </c>
      <c r="H28" s="317">
        <f t="shared" si="13"/>
        <v>818457.26974910253</v>
      </c>
      <c r="I28" s="499">
        <f t="shared" si="14"/>
        <v>1.6134444951010695E-2</v>
      </c>
      <c r="J28" s="317">
        <f t="shared" si="15"/>
        <v>728322.64580837986</v>
      </c>
    </row>
    <row r="29" spans="1:10">
      <c r="A29" s="38"/>
      <c r="B29" s="37" t="str">
        <f>INDEX(ListeMatières,16)</f>
        <v>Plastiques stratifiés</v>
      </c>
      <c r="C29" s="26">
        <f>INDEX(tblMatières[Quantité récupérée (tonnes)],MATCH($B29,tblMatières[Matière],0))</f>
        <v>1611.1743447144986</v>
      </c>
      <c r="D29" s="48">
        <f>INDEX(tblMatières[Quantité déclarée (tonnes)],MATCH($B29,tblMatières[Matière],0))</f>
        <v>12008.449000000001</v>
      </c>
      <c r="E29" s="191">
        <f>INDEX(tblMatières[Coût brut],MATCH($B29,tblMatières[Matière],0))</f>
        <v>474.20041448241329</v>
      </c>
      <c r="F29" s="200">
        <f>INDEX(tblMatières[Revenu brut],MATCH($B29,tblMatières[Matière],0))</f>
        <v>-55.041457183679881</v>
      </c>
      <c r="G29" s="200">
        <f t="shared" si="12"/>
        <v>529.24187166609318</v>
      </c>
      <c r="H29" s="317">
        <f t="shared" si="13"/>
        <v>852700.92577709246</v>
      </c>
      <c r="I29" s="499">
        <f t="shared" si="14"/>
        <v>1.6809498375943088E-2</v>
      </c>
      <c r="J29" s="317">
        <f t="shared" si="15"/>
        <v>758795.13482189074</v>
      </c>
    </row>
    <row r="30" spans="1:10">
      <c r="A30" s="38"/>
      <c r="B30" s="37" t="str">
        <f>INDEX(ListeMatières,17)</f>
        <v>Pellicules HDPE et LDPE</v>
      </c>
      <c r="C30" s="26">
        <f>INDEX(tblMatières[Quantité récupérée (tonnes)],MATCH($B30,tblMatières[Matière],0))</f>
        <v>4772.5143538478269</v>
      </c>
      <c r="D30" s="48">
        <f>INDEX(tblMatières[Quantité déclarée (tonnes)],MATCH($B30,tblMatières[Matière],0))</f>
        <v>21835.475999999999</v>
      </c>
      <c r="E30" s="191">
        <f>INDEX(tblMatières[Coût brut],MATCH($B30,tblMatières[Matière],0))</f>
        <v>629.02736574643279</v>
      </c>
      <c r="F30" s="200">
        <f>INDEX(tblMatières[Revenu brut],MATCH($B30,tblMatières[Matière],0))</f>
        <v>-6.6195306319440776</v>
      </c>
      <c r="G30" s="200">
        <f t="shared" si="12"/>
        <v>635.64689637837682</v>
      </c>
      <c r="H30" s="317">
        <f t="shared" si="13"/>
        <v>3033633.9369446258</v>
      </c>
      <c r="I30" s="499">
        <f t="shared" si="14"/>
        <v>5.9802755215498632E-2</v>
      </c>
      <c r="J30" s="317">
        <f t="shared" si="15"/>
        <v>2699547.5231674723</v>
      </c>
    </row>
    <row r="31" spans="1:10">
      <c r="A31" s="38"/>
      <c r="B31" s="37" t="str">
        <f>INDEX(ListeMatières,18)</f>
        <v>Sacs d'emplettes de pellicules HDPE et LDPE</v>
      </c>
      <c r="C31" s="26">
        <f>INDEX(tblMatières[Quantité récupérée (tonnes)],MATCH($B31,tblMatières[Matière],0))</f>
        <v>1201.4744535072032</v>
      </c>
      <c r="D31" s="48">
        <f>INDEX(tblMatières[Quantité déclarée (tonnes)],MATCH($B31,tblMatières[Matière],0))</f>
        <v>9133.4940000000006</v>
      </c>
      <c r="E31" s="191">
        <f>INDEX(tblMatières[Coût brut],MATCH($B31,tblMatières[Matière],0))</f>
        <v>629.02736574643279</v>
      </c>
      <c r="F31" s="200">
        <f>INDEX(tblMatières[Revenu brut],MATCH($B31,tblMatières[Matière],0))</f>
        <v>-6.6195306319440776</v>
      </c>
      <c r="G31" s="200">
        <f t="shared" si="12"/>
        <v>635.64689637837682</v>
      </c>
      <c r="H31" s="317">
        <f t="shared" si="13"/>
        <v>763713.5074497601</v>
      </c>
      <c r="I31" s="499">
        <f t="shared" si="14"/>
        <v>1.5055268002040935E-2</v>
      </c>
      <c r="J31" s="317">
        <f t="shared" si="15"/>
        <v>679607.67524970358</v>
      </c>
    </row>
    <row r="32" spans="1:10">
      <c r="A32" s="38"/>
      <c r="B32" s="37" t="str">
        <f>INDEX(ListeMatières,19)</f>
        <v>Polystyrène expansé alimentaire</v>
      </c>
      <c r="C32" s="26">
        <f>INDEX(tblMatières[Quantité récupérée (tonnes)],MATCH($B32,tblMatières[Matière],0))</f>
        <v>310.31781478898597</v>
      </c>
      <c r="D32" s="48">
        <f>INDEX(tblMatières[Quantité déclarée (tonnes)],MATCH($B32,tblMatières[Matière],0))</f>
        <v>4325.6270000000004</v>
      </c>
      <c r="E32" s="191">
        <f>INDEX(tblMatières[Coût brut],MATCH($B32,tblMatières[Matière],0))</f>
        <v>1970.4541126228219</v>
      </c>
      <c r="F32" s="200">
        <f>INDEX(tblMatières[Revenu brut],MATCH($B32,tblMatières[Matière],0))</f>
        <v>-23.30865656861976</v>
      </c>
      <c r="G32" s="200">
        <f t="shared" si="12"/>
        <v>1993.7627691914415</v>
      </c>
      <c r="H32" s="317">
        <f t="shared" si="13"/>
        <v>618700.10574312555</v>
      </c>
      <c r="I32" s="499">
        <f t="shared" si="14"/>
        <v>1.2196583946718496E-2</v>
      </c>
      <c r="J32" s="317">
        <f t="shared" si="15"/>
        <v>550564.2317953785</v>
      </c>
    </row>
    <row r="33" spans="1:10">
      <c r="A33" s="266"/>
      <c r="B33" s="37" t="str">
        <f>INDEX(ListeMatières,20)</f>
        <v>Polystyrène expansé de protection</v>
      </c>
      <c r="C33" s="26">
        <f>INDEX(tblMatières[Quantité récupérée (tonnes)],MATCH($B33,tblMatières[Matière],0))</f>
        <v>606.7541775293505</v>
      </c>
      <c r="D33" s="48">
        <f>INDEX(tblMatières[Quantité déclarée (tonnes)],MATCH($B33,tblMatières[Matière],0))</f>
        <v>1850.1969999999999</v>
      </c>
      <c r="E33" s="191">
        <f>INDEX(tblMatières[Coût brut],MATCH($B33,tblMatières[Matière],0))</f>
        <v>1970.4541126228219</v>
      </c>
      <c r="F33" s="200">
        <f>INDEX(tblMatières[Revenu brut],MATCH($B33,tblMatières[Matière],0))</f>
        <v>-23.30865656861976</v>
      </c>
      <c r="G33" s="200">
        <f>E33-F33</f>
        <v>1993.7627691914415</v>
      </c>
      <c r="H33" s="317">
        <f t="shared" si="13"/>
        <v>1209723.8892093934</v>
      </c>
      <c r="I33" s="499">
        <f t="shared" si="14"/>
        <v>2.3847577897811102E-2</v>
      </c>
      <c r="J33" s="317">
        <f t="shared" si="15"/>
        <v>1076500.0645136673</v>
      </c>
    </row>
    <row r="34" spans="1:10">
      <c r="A34" s="38"/>
      <c r="B34" s="37" t="str">
        <f>INDEX(ListeMatières,21)</f>
        <v>Polystyrène non expansé</v>
      </c>
      <c r="C34" s="26">
        <f>INDEX(tblMatières[Quantité récupérée (tonnes)],MATCH($B34,tblMatières[Matière],0))</f>
        <v>1488.3805294562796</v>
      </c>
      <c r="D34" s="48">
        <f>INDEX(tblMatières[Quantité déclarée (tonnes)],MATCH($B34,tblMatières[Matière],0))</f>
        <v>4738.9629999999997</v>
      </c>
      <c r="E34" s="191">
        <f>INDEX(tblMatières[Coût brut],MATCH($B34,tblMatières[Matière],0))</f>
        <v>389.53318714584924</v>
      </c>
      <c r="F34" s="200">
        <f>INDEX(tblMatières[Revenu brut],MATCH($B34,tblMatières[Matière],0))</f>
        <v>7.5935223568260266</v>
      </c>
      <c r="G34" s="200">
        <f t="shared" si="12"/>
        <v>381.9396647890232</v>
      </c>
      <c r="H34" s="317">
        <f t="shared" si="13"/>
        <v>568471.56049904029</v>
      </c>
      <c r="I34" s="499">
        <f t="shared" si="14"/>
        <v>1.1206416557212049E-2</v>
      </c>
      <c r="J34" s="317">
        <f t="shared" si="15"/>
        <v>505867.22888587735</v>
      </c>
    </row>
    <row r="35" spans="1:10">
      <c r="A35" s="38"/>
      <c r="B35" s="37" t="str">
        <f>INDEX(ListeMatières,22)</f>
        <v>Contenants de PET</v>
      </c>
      <c r="C35" s="26">
        <f>INDEX(tblMatières[Quantité récupérée (tonnes)],MATCH($B35,tblMatières[Matière],0))</f>
        <v>3577.9912878235536</v>
      </c>
      <c r="D35" s="48">
        <f>INDEX(tblMatières[Quantité déclarée (tonnes)],MATCH($B35,tblMatières[Matière],0))</f>
        <v>7338.1760000000004</v>
      </c>
      <c r="E35" s="191">
        <f>INDEX(tblMatières[Coût brut],MATCH($B35,tblMatières[Matière],0))</f>
        <v>373.08</v>
      </c>
      <c r="F35" s="200">
        <f>INDEX(tblMatières[Revenu brut],MATCH($B35,tblMatières[Matière],0))</f>
        <v>46.71</v>
      </c>
      <c r="G35" s="200">
        <f t="shared" si="12"/>
        <v>326.37</v>
      </c>
      <c r="H35" s="317">
        <f t="shared" si="13"/>
        <v>1167749.0166069733</v>
      </c>
      <c r="I35" s="499">
        <f t="shared" si="14"/>
        <v>2.3020117141628875E-2</v>
      </c>
      <c r="J35" s="317">
        <f t="shared" si="15"/>
        <v>1039147.7782047731</v>
      </c>
    </row>
    <row r="36" spans="1:10">
      <c r="A36" s="38"/>
      <c r="B36" s="37" t="str">
        <f>INDEX(ListeMatières,23)</f>
        <v>Acide polylactique (PLA) et autres plastiques dégradables</v>
      </c>
      <c r="C36" s="26">
        <f>INDEX(tblMatières[Quantité récupérée (tonnes)],MATCH($B36,tblMatières[Matière],0))</f>
        <v>16.990421072658968</v>
      </c>
      <c r="D36" s="48">
        <f>INDEX(tblMatières[Quantité déclarée (tonnes)],MATCH($B36,tblMatières[Matière],0))</f>
        <v>82.570999999999998</v>
      </c>
      <c r="E36" s="191">
        <f>INDEX(tblMatières[Coût brut],MATCH($B36,tblMatières[Matière],0))</f>
        <v>512.82240445693878</v>
      </c>
      <c r="F36" s="200">
        <f>INDEX(tblMatières[Revenu brut],MATCH($B36,tblMatières[Matière],0))</f>
        <v>282.31562432014283</v>
      </c>
      <c r="G36" s="200">
        <f t="shared" si="12"/>
        <v>230.50678013679595</v>
      </c>
      <c r="H36" s="317">
        <f t="shared" si="13"/>
        <v>3916.4072546269858</v>
      </c>
      <c r="I36" s="499">
        <f t="shared" si="14"/>
        <v>7.7205077883770983E-5</v>
      </c>
      <c r="J36" s="317">
        <f t="shared" si="15"/>
        <v>3485.1032536218572</v>
      </c>
    </row>
    <row r="37" spans="1:10">
      <c r="A37" s="38"/>
      <c r="B37" s="37" t="str">
        <f>INDEX(ListeMatières,24)</f>
        <v>Autres plastiques, polymères et polyuréthanne</v>
      </c>
      <c r="C37" s="26">
        <f>INDEX(tblMatières[Quantité récupérée (tonnes)],MATCH($B37,tblMatières[Matière],0))</f>
        <v>12075.576019317883</v>
      </c>
      <c r="D37" s="48">
        <f>INDEX(tblMatières[Quantité déclarée (tonnes)],MATCH($B37,tblMatières[Matière],0))</f>
        <v>33170.372000000003</v>
      </c>
      <c r="E37" s="192">
        <f>INDEX(tblMatières[Coût brut],MATCH($B37,tblMatières[Matière],0))</f>
        <v>380.47</v>
      </c>
      <c r="F37" s="200">
        <f>INDEX(tblMatières[Revenu brut],MATCH($B37,tblMatières[Matière],0))</f>
        <v>111.9</v>
      </c>
      <c r="G37" s="200">
        <f t="shared" si="12"/>
        <v>268.57000000000005</v>
      </c>
      <c r="H37" s="317">
        <f t="shared" si="13"/>
        <v>3243137.4515082045</v>
      </c>
      <c r="I37" s="499">
        <f t="shared" si="14"/>
        <v>6.3932748371776094E-2</v>
      </c>
      <c r="J37" s="317">
        <f t="shared" si="15"/>
        <v>2885978.946862781</v>
      </c>
    </row>
    <row r="38" spans="1:10">
      <c r="A38" s="43" t="str">
        <f>'Facteur 1'!A38</f>
        <v>Plastique TOTAL</v>
      </c>
      <c r="B38" s="51"/>
      <c r="C38" s="24">
        <f t="shared" ref="C38:D38" si="16">SUBTOTAL(9,C27:C37)</f>
        <v>49678.553622219813</v>
      </c>
      <c r="D38" s="30">
        <f t="shared" si="16"/>
        <v>134396.49200000003</v>
      </c>
      <c r="E38" s="127"/>
      <c r="F38" s="126"/>
      <c r="G38" s="126"/>
      <c r="H38" s="322">
        <f t="shared" ref="H38:J38" si="17">SUBTOTAL(9,H27:H37)</f>
        <v>15105060.499114931</v>
      </c>
      <c r="I38" s="89">
        <f t="shared" si="17"/>
        <v>0.29776968952742716</v>
      </c>
      <c r="J38" s="306">
        <f t="shared" si="17"/>
        <v>13441578.484828524</v>
      </c>
    </row>
    <row r="39" spans="1:10">
      <c r="A39" s="46" t="str">
        <f>'Facteur 1'!A39</f>
        <v>Aluminium</v>
      </c>
      <c r="B39" s="37" t="str">
        <f>INDEX(ListeMatières,25)</f>
        <v>Contenants pour aliments et breuvages en aluminium</v>
      </c>
      <c r="C39" s="26">
        <f>INDEX(tblMatières[Quantité récupérée (tonnes)],MATCH($B39,tblMatières[Matière],0))</f>
        <v>1291.1594981629264</v>
      </c>
      <c r="D39" s="48">
        <f>INDEX(tblMatières[Quantité déclarée (tonnes)],MATCH($B39,tblMatières[Matière],0))</f>
        <v>2927.57</v>
      </c>
      <c r="E39" s="191">
        <f>INDEX(tblMatières[Coût brut],MATCH($B39,tblMatières[Matière],0))</f>
        <v>415.62857125357999</v>
      </c>
      <c r="F39" s="200">
        <f>INDEX(tblMatières[Revenu brut],MATCH($B39,tblMatières[Matière],0))</f>
        <v>622.6824268872673</v>
      </c>
      <c r="G39" s="200">
        <f>E39-F39</f>
        <v>-207.05385563368731</v>
      </c>
      <c r="H39" s="317">
        <f>G39*C39</f>
        <v>-267339.55233269074</v>
      </c>
      <c r="I39" s="499">
        <f>$H39/$H$48</f>
        <v>-5.2701288750992498E-3</v>
      </c>
      <c r="J39" s="317">
        <f>I39*$J$54</f>
        <v>-237898.12526665098</v>
      </c>
    </row>
    <row r="40" spans="1:10">
      <c r="A40" s="46"/>
      <c r="B40" s="37" t="str">
        <f>INDEX(ListeMatières,26)</f>
        <v>Autres contenants et emballages en aluminium</v>
      </c>
      <c r="C40" s="26">
        <f>INDEX(tblMatières[Quantité récupérée (tonnes)],MATCH($B40,tblMatières[Matière],0))</f>
        <v>222.33232413320127</v>
      </c>
      <c r="D40" s="48">
        <f>INDEX(tblMatières[Quantité déclarée (tonnes)],MATCH($B40,tblMatières[Matière],0))</f>
        <v>2080.3110000000001</v>
      </c>
      <c r="E40" s="191">
        <f>INDEX(tblMatières[Coût brut],MATCH($B40,tblMatières[Matière],0))</f>
        <v>388.20984489728426</v>
      </c>
      <c r="F40" s="200">
        <f>INDEX(tblMatières[Revenu brut],MATCH($B40,tblMatières[Matière],0))</f>
        <v>450.54057421259438</v>
      </c>
      <c r="G40" s="200">
        <f>E40-F40</f>
        <v>-62.330729315310123</v>
      </c>
      <c r="H40" s="317">
        <f>G40*C40</f>
        <v>-13858.13591359036</v>
      </c>
      <c r="I40" s="499">
        <f>$H40/$H$48</f>
        <v>-2.7318876535850227E-4</v>
      </c>
      <c r="J40" s="317">
        <f>I40*$J$54</f>
        <v>-12331.97454236349</v>
      </c>
    </row>
    <row r="41" spans="1:10">
      <c r="A41" s="43" t="str">
        <f>'Facteur 1'!A41</f>
        <v>Aluminium TOTAL</v>
      </c>
      <c r="B41" s="51"/>
      <c r="C41" s="22">
        <f t="shared" ref="C41:D41" si="18">SUBTOTAL(9,C39:C40)</f>
        <v>1513.4918222961278</v>
      </c>
      <c r="D41" s="29">
        <f t="shared" si="18"/>
        <v>5007.8810000000003</v>
      </c>
      <c r="E41" s="198"/>
      <c r="F41" s="206"/>
      <c r="G41" s="206"/>
      <c r="H41" s="323">
        <f t="shared" ref="H41:J41" si="19">SUBTOTAL(9,H39:H40)</f>
        <v>-281197.68824628112</v>
      </c>
      <c r="I41" s="501">
        <f t="shared" si="19"/>
        <v>-5.5433176404577518E-3</v>
      </c>
      <c r="J41" s="306">
        <f t="shared" si="19"/>
        <v>-250230.09980901447</v>
      </c>
    </row>
    <row r="42" spans="1:10">
      <c r="A42" s="46" t="str">
        <f>'Facteur 1'!A42</f>
        <v>Acier</v>
      </c>
      <c r="B42" s="37" t="str">
        <f>INDEX(ListeMatières,27)</f>
        <v>Bombes aérosol en acier</v>
      </c>
      <c r="C42" s="26">
        <f>INDEX(tblMatières[Quantité récupérée (tonnes)],MATCH($B42,tblMatières[Matière],0))</f>
        <v>310.15292443013641</v>
      </c>
      <c r="D42" s="48">
        <f>INDEX(tblMatières[Quantité déclarée (tonnes)],MATCH($B42,tblMatières[Matière],0))</f>
        <v>1674.335</v>
      </c>
      <c r="E42" s="190">
        <f>INDEX(tblMatières[Coût brut],MATCH($B42,tblMatières[Matière],0))</f>
        <v>371.94419990136953</v>
      </c>
      <c r="F42" s="200">
        <f>INDEX(tblMatières[Revenu brut],MATCH($B42,tblMatières[Matière],0))</f>
        <v>571.29893568913508</v>
      </c>
      <c r="G42" s="200">
        <f>E42-F42</f>
        <v>-199.35473578776555</v>
      </c>
      <c r="H42" s="317">
        <f>G42*C42</f>
        <v>-61830.45430357266</v>
      </c>
      <c r="I42" s="499">
        <f>$H42/$H$48</f>
        <v>-1.2188786123957197E-3</v>
      </c>
      <c r="J42" s="317">
        <f>I42*$J$54</f>
        <v>-55021.223140600676</v>
      </c>
    </row>
    <row r="43" spans="1:10">
      <c r="A43" s="46"/>
      <c r="B43" s="37" t="str">
        <f>INDEX(ListeMatières,28)</f>
        <v>Autres contenants en acier</v>
      </c>
      <c r="C43" s="26">
        <f>INDEX(tblMatières[Quantité récupérée (tonnes)],MATCH($B43,tblMatières[Matière],0))</f>
        <v>15021.2491713906</v>
      </c>
      <c r="D43" s="48">
        <f>INDEX(tblMatières[Quantité déclarée (tonnes)],MATCH($B43,tblMatières[Matière],0))</f>
        <v>26835.954000000002</v>
      </c>
      <c r="E43" s="191">
        <f>INDEX(tblMatières[Coût brut],MATCH($B43,tblMatières[Matière],0))</f>
        <v>277.10493091321689</v>
      </c>
      <c r="F43" s="200">
        <f>INDEX(tblMatières[Revenu brut],MATCH($B43,tblMatières[Matière],0))</f>
        <v>219.29840536479117</v>
      </c>
      <c r="G43" s="200">
        <f>E43-F43</f>
        <v>57.806525548425725</v>
      </c>
      <c r="H43" s="317">
        <f>G43*C43</f>
        <v>868326.2239952595</v>
      </c>
      <c r="I43" s="499">
        <f>$H43/$H$48</f>
        <v>1.7117523636713788E-2</v>
      </c>
      <c r="J43" s="317">
        <f>I43*$J$54</f>
        <v>772699.65856482123</v>
      </c>
    </row>
    <row r="44" spans="1:10">
      <c r="A44" s="43" t="str">
        <f>'Facteur 1'!A44</f>
        <v>Acier TOTAL</v>
      </c>
      <c r="B44" s="51"/>
      <c r="C44" s="22">
        <f t="shared" ref="C44:D44" si="20">SUBTOTAL(9,C42:C43)</f>
        <v>15331.402095820737</v>
      </c>
      <c r="D44" s="29">
        <f t="shared" si="20"/>
        <v>28510.289000000001</v>
      </c>
      <c r="E44" s="196"/>
      <c r="F44" s="205"/>
      <c r="G44" s="205"/>
      <c r="H44" s="322">
        <f t="shared" ref="H44:J44" si="21">SUBTOTAL(9,H42:H43)</f>
        <v>806495.76969168684</v>
      </c>
      <c r="I44" s="89">
        <f t="shared" si="21"/>
        <v>1.5898645024318068E-2</v>
      </c>
      <c r="J44" s="306">
        <f t="shared" si="21"/>
        <v>717678.43542422052</v>
      </c>
    </row>
    <row r="45" spans="1:10">
      <c r="A45" s="46" t="str">
        <f>'Facteur 1'!A45</f>
        <v>Verre</v>
      </c>
      <c r="B45" s="37" t="str">
        <f>INDEX(ListeMatières,29)</f>
        <v>Verre clair</v>
      </c>
      <c r="C45" s="26">
        <f>INDEX(tblMatières[Quantité récupérée (tonnes)],MATCH($B45,tblMatières[Matière],0))</f>
        <v>40467.652103728469</v>
      </c>
      <c r="D45" s="48">
        <f>INDEX(tblMatières[Quantité déclarée (tonnes)],MATCH($B45,tblMatières[Matière],0))</f>
        <v>52387.877</v>
      </c>
      <c r="E45" s="190">
        <f>INDEX(tblMatières[Coût brut],MATCH($B45,tblMatières[Matière],0))</f>
        <v>136.90188685491088</v>
      </c>
      <c r="F45" s="200">
        <f>INDEX(tblMatières[Revenu brut],MATCH($B45,tblMatières[Matière],0))</f>
        <v>-42.518992159558358</v>
      </c>
      <c r="G45" s="200">
        <f>E45-F45</f>
        <v>179.42087901446925</v>
      </c>
      <c r="H45" s="317">
        <f>G45*C45</f>
        <v>7260741.7121026982</v>
      </c>
      <c r="I45" s="499">
        <f>$H45/$H$48</f>
        <v>0.14313274716631177</v>
      </c>
      <c r="J45" s="317">
        <f>I45*$J$54</f>
        <v>6461134.6367672756</v>
      </c>
    </row>
    <row r="46" spans="1:10">
      <c r="A46" s="46"/>
      <c r="B46" s="242" t="str">
        <f>INDEX(ListeMatières,30)</f>
        <v>Verre coloré</v>
      </c>
      <c r="C46" s="26">
        <f>INDEX(tblMatières[Quantité récupérée (tonnes)],MATCH($B46,tblMatières[Matière],0))</f>
        <v>62240.805581175147</v>
      </c>
      <c r="D46" s="48">
        <f>INDEX(tblMatières[Quantité déclarée (tonnes)],MATCH($B46,tblMatières[Matière],0))</f>
        <v>80574.570000000007</v>
      </c>
      <c r="E46" s="192">
        <f>INDEX(tblMatières[Coût brut],MATCH($B46,tblMatières[Matière],0))</f>
        <v>136.25083495406378</v>
      </c>
      <c r="F46" s="200">
        <f>INDEX(tblMatières[Revenu brut],MATCH($B46,tblMatières[Matière],0))</f>
        <v>-44.207563273629816</v>
      </c>
      <c r="G46" s="200">
        <f>E46-F46</f>
        <v>180.45839822769358</v>
      </c>
      <c r="H46" s="317">
        <f>G46*C46</f>
        <v>11231876.079580158</v>
      </c>
      <c r="I46" s="499">
        <f>$H46/$H$48</f>
        <v>0.22141667378446372</v>
      </c>
      <c r="J46" s="317">
        <f>I46*$J$54</f>
        <v>9994938.0450605303</v>
      </c>
    </row>
    <row r="47" spans="1:10">
      <c r="A47" s="43" t="str">
        <f>'Facteur 1'!A47</f>
        <v>Verre TOTAL</v>
      </c>
      <c r="B47" s="51"/>
      <c r="C47" s="22">
        <f t="shared" ref="C47:D47" si="22">SUBTOTAL(9,C45:C46)</f>
        <v>102708.45768490361</v>
      </c>
      <c r="D47" s="29">
        <f t="shared" si="22"/>
        <v>132962.44700000001</v>
      </c>
      <c r="E47" s="197"/>
      <c r="F47" s="205"/>
      <c r="G47" s="205"/>
      <c r="H47" s="322">
        <f t="shared" ref="H47:J47" si="23">SUBTOTAL(9,H45:H46)</f>
        <v>18492617.791682854</v>
      </c>
      <c r="I47" s="89">
        <f t="shared" si="23"/>
        <v>0.36454942095077547</v>
      </c>
      <c r="J47" s="306">
        <f t="shared" si="23"/>
        <v>16456072.681827806</v>
      </c>
    </row>
    <row r="48" spans="1:10" ht="15" thickBot="1">
      <c r="A48" s="56" t="str">
        <f>'Facteur 1'!A48</f>
        <v>CONTENANTS ET EMBALLAGES TOTAL</v>
      </c>
      <c r="B48" s="52"/>
      <c r="C48" s="27">
        <f t="shared" ref="C48:D48" si="24">SUBTOTAL(9,C19:C47)</f>
        <v>274825.51177788019</v>
      </c>
      <c r="D48" s="148">
        <f t="shared" si="24"/>
        <v>479048.94300000003</v>
      </c>
      <c r="E48" s="122"/>
      <c r="F48" s="123"/>
      <c r="G48" s="123"/>
      <c r="H48" s="305">
        <f t="shared" ref="H48:J48" si="25">SUBTOTAL(9,H19:H47)</f>
        <v>50727327.294753499</v>
      </c>
      <c r="I48" s="464">
        <f t="shared" si="25"/>
        <v>1</v>
      </c>
      <c r="J48" s="305">
        <f t="shared" si="25"/>
        <v>45140855.357578099</v>
      </c>
    </row>
    <row r="49" spans="1:10">
      <c r="A49" s="38"/>
      <c r="B49" s="39"/>
      <c r="C49" s="35"/>
      <c r="D49" s="39"/>
      <c r="E49" s="128"/>
      <c r="F49" s="129"/>
      <c r="G49" s="129"/>
      <c r="H49" s="303"/>
      <c r="I49" s="64"/>
      <c r="J49" s="303"/>
    </row>
    <row r="50" spans="1:10" ht="15" thickBot="1">
      <c r="A50" s="57" t="str">
        <f>'Facteur 1'!A50</f>
        <v>TOTAL</v>
      </c>
      <c r="B50" s="53"/>
      <c r="C50" s="25">
        <f t="shared" ref="C50:D50" si="26">SUBTOTAL(9,C10:C48)</f>
        <v>400693.19399743015</v>
      </c>
      <c r="D50" s="31">
        <f t="shared" si="26"/>
        <v>637067.77300000004</v>
      </c>
      <c r="E50" s="130"/>
      <c r="F50" s="131"/>
      <c r="G50" s="131"/>
      <c r="H50" s="309">
        <f>SUBTOTAL(9,H10:H48)</f>
        <v>62760060.562186837</v>
      </c>
      <c r="I50" s="86"/>
      <c r="J50" s="309">
        <f>SUBTOTAL(9,J10:J48)</f>
        <v>57320724.536117949</v>
      </c>
    </row>
    <row r="51" spans="1:10" ht="15" thickTop="1">
      <c r="A51" s="38"/>
      <c r="B51" s="35"/>
      <c r="E51" s="117"/>
      <c r="F51" s="117"/>
      <c r="G51" s="117"/>
      <c r="H51" s="117"/>
      <c r="I51" s="37"/>
      <c r="J51" s="311"/>
    </row>
    <row r="52" spans="1:10">
      <c r="A52" s="42" t="str">
        <f>'Facteur 1'!A52</f>
        <v>Allocation des coûts du facteur par catégorie</v>
      </c>
      <c r="B52" s="97"/>
      <c r="C52" s="96"/>
      <c r="D52" s="96"/>
      <c r="E52" s="119"/>
      <c r="F52" s="119"/>
      <c r="G52" s="119"/>
      <c r="H52" s="119"/>
      <c r="I52" s="96"/>
      <c r="J52" s="312"/>
    </row>
    <row r="53" spans="1:10">
      <c r="A53" s="100" t="str">
        <f>'Facteur 1'!A53</f>
        <v>Imprimés</v>
      </c>
      <c r="B53" s="98"/>
      <c r="C53" s="95"/>
      <c r="D53" s="95"/>
      <c r="E53" s="120"/>
      <c r="F53" s="120"/>
      <c r="G53" s="120"/>
      <c r="H53" s="120"/>
      <c r="I53" s="95"/>
      <c r="J53" s="313">
        <f>'Coûts nets'!$G48*$E$8</f>
        <v>12179869.178539848</v>
      </c>
    </row>
    <row r="54" spans="1:10">
      <c r="A54" s="101" t="str">
        <f>'Facteur 1'!A54</f>
        <v>Contenants et emballages</v>
      </c>
      <c r="B54" s="49"/>
      <c r="C54" s="54"/>
      <c r="D54" s="54"/>
      <c r="E54" s="121"/>
      <c r="F54" s="121"/>
      <c r="G54" s="121"/>
      <c r="H54" s="121"/>
      <c r="I54" s="54"/>
      <c r="J54" s="314">
        <f>'Coûts nets'!$G49*$E$8</f>
        <v>45140855.357578091</v>
      </c>
    </row>
  </sheetData>
  <sheetProtection password="82A0" sheet="1" objects="1" scenarios="1"/>
  <mergeCells count="2">
    <mergeCell ref="C6:D6"/>
    <mergeCell ref="E6:J6"/>
  </mergeCells>
  <pageMargins left="0.7" right="0.7" top="0.75" bottom="0.75" header="0.3" footer="0.3"/>
  <pageSetup scale="44" fitToHeight="0" orientation="landscape" r:id="rId1"/>
  <ignoredErrors>
    <ignoredError sqref="C34:C37 C27:C32 E26:G26 C39:C40 E38:G38 C42:C43 E41:G41 C45 E44:G44 D34:J37 D27:J32 D39:J40 D42:J43 D45:J45" 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56</vt:i4>
      </vt:variant>
    </vt:vector>
  </HeadingPairs>
  <TitlesOfParts>
    <vt:vector size="70" baseType="lpstr">
      <vt:lpstr>Page couverture</vt:lpstr>
      <vt:lpstr>Sommaire exécutif</vt:lpstr>
      <vt:lpstr>Paramètres</vt:lpstr>
      <vt:lpstr>Déclaration</vt:lpstr>
      <vt:lpstr>Caractérisation</vt:lpstr>
      <vt:lpstr>Coûts nets</vt:lpstr>
      <vt:lpstr>Sommaire matières</vt:lpstr>
      <vt:lpstr>Facteur 1</vt:lpstr>
      <vt:lpstr>Facteur 2</vt:lpstr>
      <vt:lpstr>Facteur 3</vt:lpstr>
      <vt:lpstr>Frais de gestion &amp; RQ</vt:lpstr>
      <vt:lpstr>Limitation hausse</vt:lpstr>
      <vt:lpstr>Crédit contenu recyclé</vt:lpstr>
      <vt:lpstr>Tarif</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FraisMun</vt:lpstr>
      <vt:lpstr>FraisProvisionEtRisque</vt:lpstr>
      <vt:lpstr>FraisRDÉEQ</vt:lpstr>
      <vt:lpstr>FraisRQ</vt:lpstr>
      <vt:lpstr>Tarif!Impression_des_titres</vt:lpstr>
      <vt:lpstr>IndemnitéRQ</vt:lpstr>
      <vt:lpstr>LimiteHausse</vt:lpstr>
      <vt:lpstr>ListeMatières</vt:lpstr>
      <vt:lpstr>ObjectifRecup</vt:lpstr>
      <vt:lpstr>PartCERelative</vt:lpstr>
      <vt:lpstr>PartCoutContenants</vt:lpstr>
      <vt:lpstr>PartCoutImprimés</vt:lpstr>
      <vt:lpstr>PartEEQ</vt:lpstr>
      <vt:lpstr>PartImprimésRelative</vt:lpstr>
      <vt:lpstr>PartIndustrie</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'Coûts nets'!Zone_d_impression</vt:lpstr>
      <vt:lpstr>'Crédit contenu recyclé'!Zone_d_impression</vt:lpstr>
      <vt:lpstr>Déclaration!Zone_d_impression</vt:lpstr>
      <vt:lpstr>'Frais de gestion &amp; RQ'!Zone_d_impression</vt:lpstr>
      <vt:lpstr>'Limitation hausse'!Zone_d_impression</vt:lpstr>
      <vt:lpstr>Paramètres!Zone_d_impression</vt:lpstr>
      <vt:lpstr>'Sommaire exécutif'!Zone_d_impression</vt:lpstr>
      <vt:lpstr>Tarif!Zone_d_impression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2016-07-12T13:09:21Z</dcterms:modified>
</cp:coreProperties>
</file>